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P2O5 SOLID-2 With Formulas" sheetId="1" r:id="rId1"/>
    <sheet name="P Factor Sheet" sheetId="2" state="hidden" r:id="rId2"/>
    <sheet name="Formula Sheet" sheetId="3" state="hidden" r:id="rId3"/>
    <sheet name="P2O5 IRR-2 With Formulas" sheetId="4" r:id="rId4"/>
    <sheet name="P2O5 SLUR-2 With Formulas" sheetId="5" r:id="rId5"/>
    <sheet name="Blank P2O5 IRR-2" sheetId="6" r:id="rId6"/>
    <sheet name="Blank P2O5 SLUR-2" sheetId="7" r:id="rId7"/>
    <sheet name="Blank P2O5 SOLID-2" sheetId="8" r:id="rId8"/>
  </sheets>
  <definedNames>
    <definedName name="_xlnm.Print_Area" localSheetId="5">'Blank P2O5 IRR-2'!$A$1:$V$48</definedName>
    <definedName name="_xlnm.Print_Area" localSheetId="6">'Blank P2O5 SLUR-2'!$A$1:$V$45</definedName>
    <definedName name="_xlnm.Print_Area" localSheetId="7">'Blank P2O5 SOLID-2'!$A$1:$V$48</definedName>
    <definedName name="_xlnm.Print_Area" localSheetId="3">'P2O5 IRR-2 With Formulas'!$A$1:$V$48</definedName>
    <definedName name="_xlnm.Print_Area" localSheetId="4">'P2O5 SLUR-2 With Formulas'!$A$1:$V$45</definedName>
    <definedName name="_xlnm.Print_Area" localSheetId="0">'P2O5 SOLID-2 With Formulas'!$A$1:$V$47</definedName>
  </definedNames>
  <calcPr fullCalcOnLoad="1"/>
</workbook>
</file>

<file path=xl/sharedStrings.xml><?xml version="1.0" encoding="utf-8"?>
<sst xmlns="http://schemas.openxmlformats.org/spreadsheetml/2006/main" count="639" uniqueCount="214">
  <si>
    <t>LAGOON LIQUID IRRIGATION FIELDS RECORD</t>
  </si>
  <si>
    <t>Field #</t>
  </si>
  <si>
    <t>Facility #</t>
  </si>
  <si>
    <t>Farm Owner</t>
  </si>
  <si>
    <t>Irrigation Operator</t>
  </si>
  <si>
    <t>Owner's Address</t>
  </si>
  <si>
    <t>Irrigation Operator's</t>
  </si>
  <si>
    <t>Owner's Phone</t>
  </si>
  <si>
    <t>Crop Type:</t>
  </si>
  <si>
    <t>Recommended PAN</t>
  </si>
  <si>
    <t>Loading (lb/acre) = (B)</t>
  </si>
  <si>
    <t xml:space="preserve">(1) 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</si>
  <si>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</si>
  <si>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</si>
  <si>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</si>
  <si>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</si>
  <si>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</si>
  <si>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</si>
  <si>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</si>
  <si>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</si>
  <si>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</si>
  <si>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</si>
  <si>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Volume</t>
  </si>
  <si>
    <t>Date</t>
  </si>
  <si>
    <t>Start</t>
  </si>
  <si>
    <t>Total</t>
  </si>
  <si>
    <t>(lb/Acre)</t>
  </si>
  <si>
    <t>(mm/dd/yr)</t>
  </si>
  <si>
    <t>Time</t>
  </si>
  <si>
    <t>(gallons)</t>
  </si>
  <si>
    <t>PAN</t>
  </si>
  <si>
    <t xml:space="preserve"> </t>
  </si>
  <si>
    <t>(lb/1000gal)</t>
  </si>
  <si>
    <t>B=</t>
  </si>
  <si>
    <t>Crop Cycle Totals</t>
  </si>
  <si>
    <t>Owner's Signature</t>
  </si>
  <si>
    <t>Operator's  Signature</t>
  </si>
  <si>
    <t>Certified Operator (Print)</t>
  </si>
  <si>
    <t>Operator Certification #</t>
  </si>
  <si>
    <t>Applied</t>
  </si>
  <si>
    <t>(12)</t>
  </si>
  <si>
    <t>Waste</t>
  </si>
  <si>
    <t>Analysis</t>
  </si>
  <si>
    <t>C=</t>
  </si>
  <si>
    <t>(13)</t>
  </si>
  <si>
    <t>(14)</t>
  </si>
  <si>
    <t>Address</t>
  </si>
  <si>
    <t>Operator's Phone #</t>
  </si>
  <si>
    <t xml:space="preserve">           Field Size (wetted acres)=(A)</t>
  </si>
  <si>
    <t xml:space="preserve">       Tract#:</t>
  </si>
  <si>
    <t>Spreader Operator</t>
  </si>
  <si>
    <t>Spreader Operator's</t>
  </si>
  <si>
    <t>From Waste Utilization Plan</t>
  </si>
  <si>
    <t>Number</t>
  </si>
  <si>
    <t>of Loads</t>
  </si>
  <si>
    <t>per Field</t>
  </si>
  <si>
    <t xml:space="preserve">Volume of </t>
  </si>
  <si>
    <t>(2) X (3)</t>
  </si>
  <si>
    <t>Volume per</t>
  </si>
  <si>
    <t>Acre</t>
  </si>
  <si>
    <t>(gallons/acre)</t>
  </si>
  <si>
    <t>(4) / A</t>
  </si>
  <si>
    <t>Application</t>
  </si>
  <si>
    <t xml:space="preserve">        One Form for Each Field per Crop Cycle</t>
  </si>
  <si>
    <t>(5) x (8)</t>
  </si>
  <si>
    <t>*Can be found in operator's manual for the spreader.  Contact a local dealer if you do not have your owner's manual.</t>
  </si>
  <si>
    <t xml:space="preserve">           One Form for Each Field per Crop Cycle</t>
  </si>
  <si>
    <t xml:space="preserve">                 From Animal Waste Management Plan</t>
  </si>
  <si>
    <t>Adjusted</t>
  </si>
  <si>
    <r>
      <t xml:space="preserve">Flow Rate </t>
    </r>
    <r>
      <rPr>
        <sz val="7.5"/>
        <rFont val="Arial"/>
        <family val="2"/>
      </rPr>
      <t>(gal/min)</t>
    </r>
  </si>
  <si>
    <t xml:space="preserve"> Lagoon ID</t>
  </si>
  <si>
    <t># of Sprinklers Operating</t>
  </si>
  <si>
    <t>Total Minutes (3) - (2)</t>
  </si>
  <si>
    <t xml:space="preserve">End </t>
  </si>
  <si>
    <t xml:space="preserve">                              Field PLAT Rating =</t>
  </si>
  <si>
    <t>Swine</t>
  </si>
  <si>
    <t>Poultry</t>
  </si>
  <si>
    <t>Dairy</t>
  </si>
  <si>
    <t>(10A)</t>
  </si>
  <si>
    <t>(10) / C</t>
  </si>
  <si>
    <t>IRR-2</t>
  </si>
  <si>
    <t>SLUR-2</t>
  </si>
  <si>
    <t>BR</t>
  </si>
  <si>
    <t>IN</t>
  </si>
  <si>
    <t>SI</t>
  </si>
  <si>
    <t>Type of</t>
  </si>
  <si>
    <t xml:space="preserve">     Field PLAT Rating =</t>
  </si>
  <si>
    <r>
      <t>Recommended P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  <r>
      <rPr>
        <vertAlign val="subscript"/>
        <sz val="9"/>
        <rFont val="Arial"/>
        <family val="2"/>
      </rPr>
      <t>5</t>
    </r>
    <r>
      <rPr>
        <sz val="9"/>
        <rFont val="Arial"/>
        <family val="2"/>
      </rPr>
      <t xml:space="preserve"> Loading (lb/acre) = (D)</t>
    </r>
  </si>
  <si>
    <t>slurry</t>
  </si>
  <si>
    <t xml:space="preserve">      Type of Operation =</t>
  </si>
  <si>
    <t xml:space="preserve">   Tract#:</t>
  </si>
  <si>
    <t xml:space="preserve">    Crop Cycle Totals:</t>
  </si>
  <si>
    <t>DMSSSP</t>
  </si>
  <si>
    <t>(15)</t>
  </si>
  <si>
    <t>(5) x (11)</t>
  </si>
  <si>
    <t>Lagoon</t>
  </si>
  <si>
    <t>ID</t>
  </si>
  <si>
    <t>**** See your waste management plan for sampling frequency.  At a minimum, waste analysis is required within 60 days of land application events.</t>
  </si>
  <si>
    <t>******** Weather Codes: C-Clear, PC-Partly Cloudy, Cl-Cloudy, R-Rain, S-Snow/Sleet, W-Windy</t>
  </si>
  <si>
    <t xml:space="preserve">          Manure Solids Application Field Records</t>
  </si>
  <si>
    <t xml:space="preserve">Weight of </t>
  </si>
  <si>
    <t>(tons)</t>
  </si>
  <si>
    <t>Weight</t>
  </si>
  <si>
    <t>Weight per</t>
  </si>
  <si>
    <t>(tons/acre)</t>
  </si>
  <si>
    <t>(lb/ton)</t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</si>
  <si>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5</t>
    </r>
  </si>
  <si>
    <r>
      <t>Analysis 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5      (lb/ton)              (9) / 10</t>
    </r>
  </si>
  <si>
    <r>
      <t>Field Size</t>
    </r>
    <r>
      <rPr>
        <sz val="7.5"/>
        <rFont val="Arial"/>
        <family val="2"/>
      </rPr>
      <t xml:space="preserve"> </t>
    </r>
    <r>
      <rPr>
        <sz val="8"/>
        <rFont val="Arial"/>
        <family val="2"/>
      </rPr>
      <t>(wetted acres)</t>
    </r>
    <r>
      <rPr>
        <sz val="9"/>
        <rFont val="Arial"/>
        <family val="2"/>
      </rPr>
      <t>=(A)</t>
    </r>
  </si>
  <si>
    <r>
      <t>Recommended P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  <r>
      <rPr>
        <vertAlign val="subscript"/>
        <sz val="9"/>
        <rFont val="Arial"/>
        <family val="2"/>
      </rPr>
      <t xml:space="preserve">5                      </t>
    </r>
    <r>
      <rPr>
        <sz val="9"/>
        <rFont val="Arial"/>
        <family val="2"/>
      </rPr>
      <t xml:space="preserve"> Loading (lb/acre) = (D)</t>
    </r>
  </si>
  <si>
    <t>Total PAN Applied =</t>
  </si>
  <si>
    <t xml:space="preserve"> = Total P2O5 Applied</t>
  </si>
  <si>
    <t>*** See your waste management plan for sampling frequency.  At a minimum, waste analysis is required within 60 days of land application events.</t>
  </si>
  <si>
    <t>**** P Factor is the phosphorus availability coefficient based on application method and type of waste.</t>
  </si>
  <si>
    <t>*****Continue subtracting column (12) from column (14) after each application event to calculate nitrogen balance.</t>
  </si>
  <si>
    <t>****** Continue subtracting column (13) from column (15) after each application event to calculate phosphorus balance.</t>
  </si>
  <si>
    <t>******* Weather Codes: C-Clear, PC-Partly Cloudy, Cl-Cloudy, R-Rain, S-Snow/Sleet, W-Windy</t>
  </si>
  <si>
    <t>each Load</t>
  </si>
  <si>
    <t>Method*</t>
  </si>
  <si>
    <t xml:space="preserve">               From Animal Waste Management Plan</t>
  </si>
  <si>
    <t>Day Before Application</t>
  </si>
  <si>
    <t xml:space="preserve">  Day After Application</t>
  </si>
  <si>
    <t xml:space="preserve">   Day of        Application </t>
  </si>
  <si>
    <r>
      <t>Waste**</t>
    </r>
    <r>
      <rPr>
        <vertAlign val="superscript"/>
        <sz val="8"/>
        <rFont val="Arial"/>
        <family val="2"/>
      </rPr>
      <t xml:space="preserve">  </t>
    </r>
  </si>
  <si>
    <t xml:space="preserve">     PAN***</t>
  </si>
  <si>
    <t xml:space="preserve">          P Factor****</t>
  </si>
  <si>
    <t xml:space="preserve">         Nitrogen     Balance***** (lb/acre)      (B) - (12)</t>
  </si>
  <si>
    <t xml:space="preserve">              P2O5 Balance****** (lb/acre)       (D) - (13)</t>
  </si>
  <si>
    <t>Weather Code*******</t>
  </si>
  <si>
    <t>P2O5***</t>
  </si>
  <si>
    <t>Day of Application</t>
  </si>
  <si>
    <t>Day After Application</t>
  </si>
  <si>
    <r>
      <t>Analysis 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5 (lb/1000gal)      (9) / 10</t>
    </r>
  </si>
  <si>
    <t>***** P Factor is the phosphorus availability coefficient based on application method and type of waste.</t>
  </si>
  <si>
    <t>each Load*</t>
  </si>
  <si>
    <t>Method**</t>
  </si>
  <si>
    <t>Waste***</t>
  </si>
  <si>
    <t xml:space="preserve">     PAN****</t>
  </si>
  <si>
    <t xml:space="preserve">          P Factor*****</t>
  </si>
  <si>
    <t xml:space="preserve">         Nitrogen     Balance****** (lb/acre)      (B) - (12)</t>
  </si>
  <si>
    <t>Weather    Code********</t>
  </si>
  <si>
    <r>
      <t xml:space="preserve"> =Total P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  <r>
      <rPr>
        <vertAlign val="subscript"/>
        <sz val="9"/>
        <rFont val="Arial"/>
        <family val="2"/>
      </rPr>
      <t>5</t>
    </r>
    <r>
      <rPr>
        <sz val="9"/>
        <rFont val="Arial"/>
        <family val="2"/>
      </rPr>
      <t xml:space="preserve"> Applied</t>
    </r>
  </si>
  <si>
    <r>
      <t>Field Size (</t>
    </r>
    <r>
      <rPr>
        <sz val="8"/>
        <rFont val="Arial"/>
        <family val="2"/>
      </rPr>
      <t>wetted acres</t>
    </r>
    <r>
      <rPr>
        <sz val="9"/>
        <rFont val="Arial"/>
        <family val="2"/>
      </rPr>
      <t>)=(A)</t>
    </r>
  </si>
  <si>
    <t>** si = soil incorporated (disked); br = broadcast (surface applied); in = injected.</t>
  </si>
  <si>
    <t>* si = soil incorporated (disked); br = broadcast (surface applied); in = injected.</t>
  </si>
  <si>
    <t>P2O5****</t>
  </si>
  <si>
    <t>******Continue subtracting column (12) from column (14) after each application event to calculate nitrogen balance.</t>
  </si>
  <si>
    <t>*******Continue subtracting column (13) from column (15) after each application event to calculate phosphorus balance.</t>
  </si>
  <si>
    <t>Volume per Acre (gal/acre)      (7) / A</t>
  </si>
  <si>
    <r>
      <t>Analysis 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 xml:space="preserve">5 </t>
    </r>
    <r>
      <rPr>
        <sz val="7.5"/>
        <rFont val="Arial"/>
        <family val="2"/>
      </rPr>
      <t>(lb/1000gal)</t>
    </r>
  </si>
  <si>
    <r>
      <t xml:space="preserve">(lb/Acre)  </t>
    </r>
    <r>
      <rPr>
        <u val="single"/>
        <sz val="7.5"/>
        <rFont val="Arial"/>
        <family val="2"/>
      </rPr>
      <t>(8) X (10A)</t>
    </r>
    <r>
      <rPr>
        <sz val="8"/>
        <rFont val="Arial"/>
        <family val="2"/>
      </rPr>
      <t xml:space="preserve"> 1000</t>
    </r>
  </si>
  <si>
    <r>
      <t>(lb/Acre)</t>
    </r>
    <r>
      <rPr>
        <u val="single"/>
        <sz val="8"/>
        <rFont val="Arial"/>
        <family val="2"/>
      </rPr>
      <t xml:space="preserve"> </t>
    </r>
    <r>
      <rPr>
        <u val="single"/>
        <sz val="7.5"/>
        <rFont val="Arial"/>
        <family val="2"/>
      </rPr>
      <t>(8) X (9)</t>
    </r>
    <r>
      <rPr>
        <sz val="8"/>
        <rFont val="Arial"/>
        <family val="2"/>
      </rPr>
      <t xml:space="preserve"> 1000</t>
    </r>
  </si>
  <si>
    <t xml:space="preserve">                P Factor* = (C)</t>
  </si>
  <si>
    <t>**NCDA Waste Analysis or Equivalent.  At a minimum, waste analysis is required within 60 days of land application events.</t>
  </si>
  <si>
    <t>*P Factor is the phosphorus availability coefficient based on application method and type of waste.</t>
  </si>
  <si>
    <r>
      <t xml:space="preserve">Waste Analysis PAN** </t>
    </r>
    <r>
      <rPr>
        <sz val="7.5"/>
        <rFont val="Arial"/>
        <family val="2"/>
      </rPr>
      <t>(lb/1000gal)</t>
    </r>
  </si>
  <si>
    <r>
      <t>Waste Analysis 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 xml:space="preserve">** </t>
    </r>
    <r>
      <rPr>
        <sz val="7.5"/>
        <rFont val="Arial"/>
        <family val="2"/>
      </rPr>
      <t>(lb/1000gal)</t>
    </r>
  </si>
  <si>
    <t>Nitrogen Balance*** (lb/acre)      (B) - (11)</t>
  </si>
  <si>
    <t>***Continue subtracting column (11) from column (13) after each application event to calculate nitrogen balance.</t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</si>
  <si>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 xml:space="preserve"> Balance**** (lb/acre)       (D) - (12)</t>
    </r>
  </si>
  <si>
    <t xml:space="preserve"> Weather Code*****</t>
  </si>
  <si>
    <t>**** Continue subtracting column (12) from column (14) after each application event to calculate phosphorus balance.</t>
  </si>
  <si>
    <t>*****Weather Codes: c-Clear, pc- Partly Cloudy, cl- Cloudy, r-Rain, s- Snow/Sleet, w- Windy</t>
  </si>
  <si>
    <t xml:space="preserve"> Inspection (Initals)******</t>
  </si>
  <si>
    <t>******Persons comlpeting the irrigation inspections must initial to signify that inspections were completed at least every 120 minutes</t>
  </si>
  <si>
    <r>
      <t>Recommended P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  <r>
      <rPr>
        <vertAlign val="subscript"/>
        <sz val="9"/>
        <rFont val="Arial"/>
        <family val="2"/>
      </rPr>
      <t xml:space="preserve">5 </t>
    </r>
    <r>
      <rPr>
        <sz val="9"/>
        <rFont val="Arial"/>
        <family val="2"/>
      </rPr>
      <t>Loading (lb/acre) = (D)</t>
    </r>
  </si>
  <si>
    <r>
      <t xml:space="preserve"> = Total P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  <r>
      <rPr>
        <vertAlign val="subscript"/>
        <sz val="9"/>
        <rFont val="Arial"/>
        <family val="2"/>
      </rPr>
      <t xml:space="preserve">5 </t>
    </r>
    <r>
      <rPr>
        <sz val="9"/>
        <rFont val="Arial"/>
        <family val="2"/>
      </rPr>
      <t>Applied</t>
    </r>
  </si>
  <si>
    <t xml:space="preserve">*P Factor is the phosphorus availability coefficient based on application method and type of waste.  For irrigation applications the P Factor is 0.70.  </t>
  </si>
  <si>
    <t>(10) / (C)</t>
  </si>
  <si>
    <t>Volume per Acre (gal/acre)      (7) / (A)</t>
  </si>
  <si>
    <t>***** P Factor is the phosphorus availability coefficient based on application method and type of waste.  P Factors are as follows:</t>
  </si>
  <si>
    <t>**** P Factor is the phosphorus availability coefficient based on application method and type of waste.  P Factors are as follows:</t>
  </si>
  <si>
    <t xml:space="preserve">       From Waste Utilization Plan</t>
  </si>
  <si>
    <t xml:space="preserve">    Must balance column 14 for "high" rated fields</t>
  </si>
  <si>
    <t xml:space="preserve">     Must balance column 15 for "high" rated fields</t>
  </si>
  <si>
    <t xml:space="preserve">    Must balance column 15 for "high" rated fields</t>
  </si>
  <si>
    <t>P2O5 Balance******* (lb/acre)       (D) - (13)</t>
  </si>
  <si>
    <t>* Application methods are "si" = soil incorporated (disked);     "br" = broadcast (surface applied);     "in" = injected.</t>
  </si>
  <si>
    <t>Total Volume (gallons)      (6)X(5)X(4)</t>
  </si>
  <si>
    <t>Total Volume (gallons)         (6) X (5) X (4)</t>
  </si>
  <si>
    <t>Manure Slurry and Lagoon Sludge Application Field Records</t>
  </si>
  <si>
    <t xml:space="preserve">              One Form for Each Field per Crop Cycle</t>
  </si>
  <si>
    <t>** Type of Waste = manure slurry, lagoon sludge, or msssp (manure surface scraped or stockpiled)</t>
  </si>
  <si>
    <t>Nitrogen     Balance****** (lb/acre)      (B) - (12)</t>
  </si>
  <si>
    <t>*****Weather Codes: C-Clear, PC- Partly Cloudy, Cl- Cloudy, R-Rain, S- Snow/Sleet, W- Windy</t>
  </si>
  <si>
    <t>** Type of Waste = "manure slurry",  "lagoon sludge",  or  "msssp" (manure surface scraped or stockpiled)</t>
  </si>
  <si>
    <t xml:space="preserve">For dairy operations use "manure slurry"  or "msssp" only.   For poultry operations use "manure slurry" or "lagoon sludge" only.    </t>
  </si>
  <si>
    <t>For swine and beef operations use  "manure slurry",  "lagoon sludge",  or "msssp".</t>
  </si>
  <si>
    <t xml:space="preserve">"si" = 0.80 (except for "msssp" where "si" = 0.75)         "br" = 0.70 (except for "msssp" where "br" = 0.60)            "in" = 0.80  </t>
  </si>
  <si>
    <t xml:space="preserve">                                 For dairys use "manure slurry" or "msssp" only.  For poulty use "manure slurry",  "lagoon liquid",  or  "lagoon sludge"  only.</t>
  </si>
  <si>
    <t>** Application methods are "si" = soil incorporated (disked);     "br" = broadcast (surface applied);     "in" = injected.    Use injected for "manure slurry",  "lagoon liquid",  or  "lagoon sludge"  only.</t>
  </si>
  <si>
    <t>*** Type of Waste = manure slurry, lagoon liquid, lagoon sludge, or msssp (manure surface scraped or stockpiled).</t>
  </si>
  <si>
    <t xml:space="preserve">*** Type of Waste = "manure slurry",  "lagoon liquid",  "lagoon sludge",  or  "msssp" (manure surface scraped or stockpiled). </t>
  </si>
  <si>
    <t xml:space="preserve">                                                                    Do not change between operation types</t>
  </si>
  <si>
    <t xml:space="preserve">                                                        (Swine, Poultry, Dairy, or Beef)</t>
  </si>
  <si>
    <t xml:space="preserve">        Must balance column 15 for "high" rated fields</t>
  </si>
  <si>
    <t xml:space="preserve">                   "si" = 0.80  (except for "msssp" where "si" = 0.75)       "br" = 0.70  (except for "msssp" where "br" = 0.60)        "in" = 0.80 </t>
  </si>
  <si>
    <t>Use "in" for "lagoon liquid" or "manure slurry" or "lagoon sludge" waste only.</t>
  </si>
  <si>
    <t>Use "in" for "manure slurry" or "lagoon sludge" waste only.</t>
  </si>
  <si>
    <t xml:space="preserve">Fert. N Applied </t>
  </si>
  <si>
    <r>
      <t>Fert. 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 xml:space="preserve"> Applied</t>
    </r>
  </si>
  <si>
    <t xml:space="preserve">Fertilizer N </t>
  </si>
  <si>
    <r>
      <t>Fertilizer 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5</t>
    </r>
  </si>
  <si>
    <r>
      <t>FORM P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</t>
    </r>
    <r>
      <rPr>
        <b/>
        <vertAlign val="subscript"/>
        <sz val="9"/>
        <rFont val="Arial"/>
        <family val="2"/>
      </rPr>
      <t>5</t>
    </r>
    <r>
      <rPr>
        <b/>
        <sz val="9"/>
        <rFont val="Arial"/>
        <family val="2"/>
      </rPr>
      <t xml:space="preserve"> SOLID-2 </t>
    </r>
  </si>
  <si>
    <r>
      <t>FORM P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</t>
    </r>
    <r>
      <rPr>
        <b/>
        <vertAlign val="subscript"/>
        <sz val="9"/>
        <rFont val="Arial"/>
        <family val="2"/>
      </rPr>
      <t>5</t>
    </r>
    <r>
      <rPr>
        <b/>
        <sz val="9"/>
        <rFont val="Arial"/>
        <family val="2"/>
      </rPr>
      <t xml:space="preserve"> IRR-2</t>
    </r>
  </si>
  <si>
    <r>
      <t>FORM P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</t>
    </r>
    <r>
      <rPr>
        <b/>
        <vertAlign val="subscript"/>
        <sz val="9"/>
        <rFont val="Arial"/>
        <family val="2"/>
      </rPr>
      <t>5</t>
    </r>
    <r>
      <rPr>
        <b/>
        <sz val="9"/>
        <rFont val="Arial"/>
        <family val="2"/>
      </rPr>
      <t xml:space="preserve"> SLUR-2</t>
    </r>
  </si>
  <si>
    <r>
      <t>FORM P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</t>
    </r>
    <r>
      <rPr>
        <b/>
        <vertAlign val="subscript"/>
        <sz val="9"/>
        <rFont val="Arial"/>
        <family val="2"/>
      </rPr>
      <t>5</t>
    </r>
    <r>
      <rPr>
        <b/>
        <sz val="9"/>
        <rFont val="Arial"/>
        <family val="2"/>
      </rPr>
      <t xml:space="preserve"> SOLID-2</t>
    </r>
  </si>
  <si>
    <t>Commercial Fertilizer Application (lb/acre)</t>
  </si>
  <si>
    <t>Record commerical fertilizer applications on the chart to the right.</t>
  </si>
  <si>
    <t>Record commercial fertilizer applciations on the chart to the right.</t>
  </si>
  <si>
    <t xml:space="preserve">    Crop Cycle Totals</t>
  </si>
  <si>
    <r>
      <t>FORM 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 xml:space="preserve"> SOLID-2  2/28/07 Version</t>
    </r>
  </si>
  <si>
    <r>
      <t>FORM 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 xml:space="preserve"> IRR-2  2/28/07 Version</t>
    </r>
  </si>
  <si>
    <r>
      <t>FORM 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 xml:space="preserve"> SLUR-2  2/28/07 Version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</si>
</sst>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  <numFmt numFmtId="165" formatCode="00000"/>
    <numFmt numFmtId="166" formatCode="&quot;$&quot;#,##0.00"/>
    <numFmt numFmtId="167" formatCode="m/d/yy"/>
    <numFmt numFmtId="168" formatCode="0;\-0;;@"/>
    <numFmt numFmtId="169" formatCode="0.0"/>
    <numFmt numFmtId="170" formatCode="mm/dd/yy"/>
    <numFmt numFmtId="171" formatCode="d\-mmm\-yyyy"/>
    <numFmt numFmtId="172" formatCode="mmmm\ d\,\ yyyy"/>
    <numFmt numFmtId="173" formatCode="mmmmm\-yy"/>
    <numFmt numFmtId="174" formatCode="m/d"/>
  </numFmts>
  <fonts count="1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11"/>
      <name val="Arial"/>
      <family val="2"/>
    </font>
    <font>
      <sz val="7.5"/>
      <name val="Arial"/>
      <family val="2"/>
    </font>
    <font>
      <u val="single"/>
      <sz val="7.5"/>
      <name val="Arial"/>
      <family val="2"/>
    </font>
    <font>
      <vertAlign val="superscript"/>
      <sz val="8"/>
      <name val="Arial"/>
      <family val="2"/>
    </font>
    <font>
      <vertAlign val="subscript"/>
      <sz val="8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  <font>
      <b/>
      <vertAlign val="subscript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/>
    </xf>
    <xf numFmtId="0" fontId="3" fillId="0" borderId="2" xfId="0" applyFont="1" applyBorder="1" applyAlignment="1" applyProtection="1">
      <alignment horizontal="center"/>
      <protection/>
    </xf>
    <xf numFmtId="3" fontId="3" fillId="0" borderId="3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right"/>
      <protection/>
    </xf>
    <xf numFmtId="49" fontId="3" fillId="0" borderId="4" xfId="0" applyNumberFormat="1" applyFont="1" applyBorder="1" applyAlignment="1" applyProtection="1">
      <alignment horizontal="left"/>
      <protection/>
    </xf>
    <xf numFmtId="49" fontId="3" fillId="0" borderId="4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9" fontId="3" fillId="0" borderId="5" xfId="0" applyNumberFormat="1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1" fontId="3" fillId="0" borderId="3" xfId="0" applyNumberFormat="1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hidden="1"/>
    </xf>
    <xf numFmtId="0" fontId="3" fillId="0" borderId="1" xfId="0" applyFont="1" applyBorder="1" applyAlignment="1" applyProtection="1">
      <alignment/>
      <protection hidden="1"/>
    </xf>
    <xf numFmtId="0" fontId="3" fillId="0" borderId="6" xfId="0" applyFont="1" applyBorder="1" applyAlignment="1" applyProtection="1">
      <alignment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0" fillId="0" borderId="6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/>
      <protection hidden="1"/>
    </xf>
    <xf numFmtId="0" fontId="3" fillId="0" borderId="8" xfId="0" applyFont="1" applyBorder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left"/>
      <protection/>
    </xf>
    <xf numFmtId="4" fontId="1" fillId="0" borderId="9" xfId="0" applyNumberFormat="1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9" xfId="0" applyNumberFormat="1" applyFont="1" applyBorder="1" applyAlignment="1" applyProtection="1">
      <alignment horizontal="center"/>
      <protection locked="0"/>
    </xf>
    <xf numFmtId="2" fontId="1" fillId="0" borderId="9" xfId="0" applyNumberFormat="1" applyFont="1" applyBorder="1" applyAlignment="1" applyProtection="1">
      <alignment horizontal="center"/>
      <protection locked="0"/>
    </xf>
    <xf numFmtId="1" fontId="1" fillId="0" borderId="9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Fill="1" applyBorder="1" applyAlignment="1" applyProtection="1">
      <alignment horizontal="center"/>
      <protection hidden="1"/>
    </xf>
    <xf numFmtId="4" fontId="1" fillId="0" borderId="9" xfId="0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Fill="1" applyBorder="1" applyAlignment="1" applyProtection="1">
      <alignment horizontal="center"/>
      <protection hidden="1"/>
    </xf>
    <xf numFmtId="14" fontId="1" fillId="0" borderId="9" xfId="0" applyNumberFormat="1" applyFont="1" applyBorder="1" applyAlignment="1" applyProtection="1">
      <alignment horizontal="center"/>
      <protection locked="0"/>
    </xf>
    <xf numFmtId="4" fontId="1" fillId="0" borderId="1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center" vertical="center"/>
      <protection hidden="1"/>
    </xf>
    <xf numFmtId="3" fontId="1" fillId="0" borderId="11" xfId="0" applyNumberFormat="1" applyFont="1" applyFill="1" applyBorder="1" applyAlignment="1" applyProtection="1">
      <alignment horizontal="left" vertical="center"/>
      <protection hidden="1"/>
    </xf>
    <xf numFmtId="3" fontId="1" fillId="0" borderId="3" xfId="0" applyNumberFormat="1" applyFont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 applyProtection="1">
      <alignment horizontal="center" vertical="center"/>
      <protection hidden="1"/>
    </xf>
    <xf numFmtId="3" fontId="1" fillId="0" borderId="5" xfId="0" applyNumberFormat="1" applyFont="1" applyBorder="1" applyAlignment="1" applyProtection="1">
      <alignment horizontal="center" vertical="center"/>
      <protection hidden="1"/>
    </xf>
    <xf numFmtId="4" fontId="1" fillId="0" borderId="0" xfId="0" applyNumberFormat="1" applyFont="1" applyBorder="1" applyAlignment="1" applyProtection="1">
      <alignment horizontal="center" vertical="center" wrapText="1"/>
      <protection/>
    </xf>
    <xf numFmtId="3" fontId="1" fillId="0" borderId="11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1" fillId="0" borderId="0" xfId="0" applyFont="1" applyBorder="1" applyAlignment="1" applyProtection="1">
      <alignment horizontal="right"/>
      <protection/>
    </xf>
    <xf numFmtId="0" fontId="1" fillId="0" borderId="1" xfId="0" applyFont="1" applyBorder="1" applyAlignment="1" applyProtection="1">
      <alignment/>
      <protection hidden="1"/>
    </xf>
    <xf numFmtId="0" fontId="13" fillId="0" borderId="6" xfId="0" applyFont="1" applyBorder="1" applyAlignment="1" applyProtection="1">
      <alignment horizontal="center"/>
      <protection hidden="1"/>
    </xf>
    <xf numFmtId="0" fontId="15" fillId="0" borderId="6" xfId="0" applyFont="1" applyBorder="1" applyAlignment="1" applyProtection="1">
      <alignment horizontal="center"/>
      <protection hidden="1"/>
    </xf>
    <xf numFmtId="0" fontId="15" fillId="0" borderId="2" xfId="0" applyFont="1" applyBorder="1" applyAlignment="1" applyProtection="1">
      <alignment horizontal="center"/>
      <protection hidden="1"/>
    </xf>
    <xf numFmtId="0" fontId="16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4" fontId="1" fillId="0" borderId="11" xfId="0" applyNumberFormat="1" applyFont="1" applyBorder="1" applyAlignment="1" applyProtection="1">
      <alignment horizont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/>
      <protection/>
    </xf>
    <xf numFmtId="0" fontId="16" fillId="0" borderId="6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 horizontal="center" vertical="top" wrapText="1"/>
      <protection/>
    </xf>
    <xf numFmtId="0" fontId="1" fillId="0" borderId="6" xfId="0" applyNumberFormat="1" applyFont="1" applyBorder="1" applyAlignment="1" applyProtection="1">
      <alignment horizontal="center"/>
      <protection/>
    </xf>
    <xf numFmtId="18" fontId="1" fillId="0" borderId="7" xfId="0" applyNumberFormat="1" applyFont="1" applyBorder="1" applyAlignment="1" applyProtection="1">
      <alignment/>
      <protection/>
    </xf>
    <xf numFmtId="18" fontId="1" fillId="0" borderId="6" xfId="0" applyNumberFormat="1" applyFont="1" applyBorder="1" applyAlignment="1" applyProtection="1">
      <alignment/>
      <protection/>
    </xf>
    <xf numFmtId="1" fontId="1" fillId="0" borderId="6" xfId="0" applyNumberFormat="1" applyFont="1" applyFill="1" applyBorder="1" applyAlignment="1" applyProtection="1">
      <alignment horizontal="center"/>
      <protection hidden="1"/>
    </xf>
    <xf numFmtId="1" fontId="1" fillId="0" borderId="6" xfId="0" applyNumberFormat="1" applyFont="1" applyBorder="1" applyAlignment="1" applyProtection="1">
      <alignment horizontal="center"/>
      <protection/>
    </xf>
    <xf numFmtId="3" fontId="1" fillId="0" borderId="6" xfId="0" applyNumberFormat="1" applyFont="1" applyBorder="1" applyAlignment="1" applyProtection="1">
      <alignment horizontal="center"/>
      <protection hidden="1"/>
    </xf>
    <xf numFmtId="2" fontId="1" fillId="0" borderId="6" xfId="0" applyNumberFormat="1" applyFont="1" applyBorder="1" applyAlignment="1" applyProtection="1">
      <alignment horizontal="center"/>
      <protection/>
    </xf>
    <xf numFmtId="18" fontId="1" fillId="0" borderId="3" xfId="0" applyNumberFormat="1" applyFont="1" applyBorder="1" applyAlignment="1" applyProtection="1">
      <alignment/>
      <protection/>
    </xf>
    <xf numFmtId="1" fontId="1" fillId="0" borderId="3" xfId="0" applyNumberFormat="1" applyFont="1" applyBorder="1" applyAlignment="1" applyProtection="1">
      <alignment horizontal="center"/>
      <protection/>
    </xf>
    <xf numFmtId="2" fontId="1" fillId="0" borderId="3" xfId="0" applyNumberFormat="1" applyFont="1" applyBorder="1" applyAlignment="1" applyProtection="1">
      <alignment horizontal="center"/>
      <protection/>
    </xf>
    <xf numFmtId="2" fontId="1" fillId="0" borderId="7" xfId="0" applyNumberFormat="1" applyFont="1" applyBorder="1" applyAlignment="1" applyProtection="1">
      <alignment horizontal="center"/>
      <protection/>
    </xf>
    <xf numFmtId="4" fontId="1" fillId="0" borderId="6" xfId="0" applyNumberFormat="1" applyFont="1" applyBorder="1" applyAlignment="1" applyProtection="1">
      <alignment horizontal="center"/>
      <protection hidden="1"/>
    </xf>
    <xf numFmtId="4" fontId="1" fillId="0" borderId="2" xfId="0" applyNumberFormat="1" applyFont="1" applyBorder="1" applyAlignment="1" applyProtection="1">
      <alignment horizontal="center"/>
      <protection hidden="1"/>
    </xf>
    <xf numFmtId="4" fontId="1" fillId="0" borderId="11" xfId="0" applyNumberFormat="1" applyFont="1" applyBorder="1" applyAlignment="1" applyProtection="1">
      <alignment horizontal="left"/>
      <protection hidden="1"/>
    </xf>
    <xf numFmtId="4" fontId="1" fillId="0" borderId="0" xfId="0" applyNumberFormat="1" applyFont="1" applyBorder="1" applyAlignment="1" applyProtection="1">
      <alignment horizontal="center"/>
      <protection hidden="1"/>
    </xf>
    <xf numFmtId="1" fontId="1" fillId="0" borderId="9" xfId="0" applyNumberFormat="1" applyFont="1" applyFill="1" applyBorder="1" applyAlignment="1" applyProtection="1">
      <alignment horizontal="center"/>
      <protection hidden="1"/>
    </xf>
    <xf numFmtId="3" fontId="1" fillId="0" borderId="9" xfId="0" applyNumberFormat="1" applyFont="1" applyBorder="1" applyAlignment="1" applyProtection="1">
      <alignment horizontal="center"/>
      <protection hidden="1"/>
    </xf>
    <xf numFmtId="2" fontId="1" fillId="0" borderId="9" xfId="0" applyNumberFormat="1" applyFont="1" applyBorder="1" applyAlignment="1" applyProtection="1">
      <alignment horizontal="center"/>
      <protection hidden="1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18" fontId="1" fillId="0" borderId="9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 horizontal="center" vertical="top" wrapText="1"/>
    </xf>
    <xf numFmtId="4" fontId="3" fillId="0" borderId="0" xfId="0" applyNumberFormat="1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 vertical="top" wrapText="1"/>
    </xf>
    <xf numFmtId="2" fontId="1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NumberForma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1" fontId="1" fillId="0" borderId="9" xfId="0" applyNumberFormat="1" applyFont="1" applyFill="1" applyBorder="1" applyAlignment="1" applyProtection="1">
      <alignment horizontal="center"/>
      <protection locked="0"/>
    </xf>
    <xf numFmtId="3" fontId="1" fillId="0" borderId="9" xfId="0" applyNumberFormat="1" applyFont="1" applyBorder="1" applyAlignment="1" applyProtection="1">
      <alignment horizontal="center"/>
      <protection locked="0"/>
    </xf>
    <xf numFmtId="3" fontId="3" fillId="0" borderId="3" xfId="0" applyNumberFormat="1" applyFont="1" applyBorder="1" applyAlignment="1" applyProtection="1">
      <alignment horizontal="center"/>
      <protection locked="0"/>
    </xf>
    <xf numFmtId="3" fontId="3" fillId="0" borderId="11" xfId="0" applyNumberFormat="1" applyFont="1" applyBorder="1" applyAlignment="1" applyProtection="1">
      <alignment horizontal="center"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4" fontId="1" fillId="0" borderId="11" xfId="0" applyNumberFormat="1" applyFont="1" applyBorder="1" applyAlignment="1" applyProtection="1">
      <alignment horizontal="left"/>
      <protection locked="0"/>
    </xf>
    <xf numFmtId="1" fontId="1" fillId="0" borderId="3" xfId="0" applyNumberFormat="1" applyFont="1" applyFill="1" applyBorder="1" applyAlignment="1" applyProtection="1">
      <alignment horizontal="center"/>
      <protection locked="0"/>
    </xf>
    <xf numFmtId="2" fontId="1" fillId="0" borderId="3" xfId="0" applyNumberFormat="1" applyFont="1" applyFill="1" applyBorder="1" applyAlignment="1" applyProtection="1">
      <alignment horizontal="center"/>
      <protection locked="0"/>
    </xf>
    <xf numFmtId="3" fontId="1" fillId="0" borderId="11" xfId="0" applyNumberFormat="1" applyFont="1" applyFill="1" applyBorder="1" applyAlignment="1" applyProtection="1">
      <alignment horizontal="left"/>
      <protection locked="0"/>
    </xf>
    <xf numFmtId="1" fontId="3" fillId="0" borderId="3" xfId="0" applyNumberFormat="1" applyFont="1" applyBorder="1" applyAlignment="1" applyProtection="1">
      <alignment horizontal="center"/>
      <protection locked="0"/>
    </xf>
    <xf numFmtId="3" fontId="1" fillId="0" borderId="11" xfId="0" applyNumberFormat="1" applyFont="1" applyFill="1" applyBorder="1" applyAlignment="1" applyProtection="1">
      <alignment horizontal="left" vertic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3" fontId="1" fillId="0" borderId="11" xfId="0" applyNumberFormat="1" applyFont="1" applyBorder="1" applyAlignment="1" applyProtection="1">
      <alignment horizontal="center" vertical="center"/>
      <protection locked="0"/>
    </xf>
    <xf numFmtId="3" fontId="1" fillId="0" borderId="5" xfId="0" applyNumberFormat="1" applyFont="1" applyBorder="1" applyAlignment="1" applyProtection="1">
      <alignment horizontal="center" vertical="center"/>
      <protection locked="0"/>
    </xf>
    <xf numFmtId="4" fontId="1" fillId="0" borderId="12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8" fillId="0" borderId="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0" fillId="0" borderId="7" xfId="0" applyBorder="1" applyAlignment="1" applyProtection="1">
      <alignment/>
      <protection/>
    </xf>
    <xf numFmtId="0" fontId="0" fillId="0" borderId="7" xfId="0" applyBorder="1" applyAlignment="1">
      <alignment/>
    </xf>
    <xf numFmtId="4" fontId="3" fillId="0" borderId="11" xfId="0" applyNumberFormat="1" applyFont="1" applyBorder="1" applyAlignment="1" applyProtection="1">
      <alignment horizontal="center" vertical="center"/>
      <protection hidden="1"/>
    </xf>
    <xf numFmtId="4" fontId="3" fillId="0" borderId="12" xfId="0" applyNumberFormat="1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4" fontId="1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7" xfId="0" applyBorder="1" applyAlignment="1">
      <alignment horizontal="right"/>
    </xf>
    <xf numFmtId="0" fontId="3" fillId="0" borderId="12" xfId="0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11" fillId="0" borderId="3" xfId="0" applyFont="1" applyBorder="1" applyAlignment="1" applyProtection="1">
      <alignment horizontal="center" vertical="center" textRotation="180" wrapText="1"/>
      <protection/>
    </xf>
    <xf numFmtId="0" fontId="3" fillId="0" borderId="0" xfId="0" applyFont="1" applyAlignment="1" applyProtection="1">
      <alignment horizontal="right"/>
      <protection/>
    </xf>
    <xf numFmtId="0" fontId="3" fillId="0" borderId="7" xfId="0" applyFont="1" applyBorder="1" applyAlignment="1" applyProtection="1">
      <alignment horizontal="right"/>
      <protection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 wrapText="1"/>
      <protection/>
    </xf>
    <xf numFmtId="0" fontId="11" fillId="0" borderId="3" xfId="0" applyFont="1" applyBorder="1" applyAlignment="1">
      <alignment horizontal="center" vertical="center" textRotation="180" wrapText="1"/>
    </xf>
    <xf numFmtId="0" fontId="11" fillId="0" borderId="1" xfId="0" applyFont="1" applyBorder="1" applyAlignment="1" applyProtection="1">
      <alignment horizontal="center" vertical="center" textRotation="180" wrapText="1"/>
      <protection/>
    </xf>
    <xf numFmtId="0" fontId="11" fillId="0" borderId="6" xfId="0" applyFont="1" applyBorder="1" applyAlignment="1" applyProtection="1">
      <alignment horizontal="center" vertical="center" textRotation="180" wrapText="1"/>
      <protection/>
    </xf>
    <xf numFmtId="0" fontId="0" fillId="0" borderId="4" xfId="0" applyBorder="1" applyAlignment="1">
      <alignment wrapText="1"/>
    </xf>
    <xf numFmtId="0" fontId="0" fillId="0" borderId="8" xfId="0" applyBorder="1" applyAlignment="1">
      <alignment wrapText="1"/>
    </xf>
    <xf numFmtId="0" fontId="11" fillId="0" borderId="1" xfId="0" applyFont="1" applyBorder="1" applyAlignment="1">
      <alignment horizontal="center" vertical="center" textRotation="180" wrapText="1"/>
    </xf>
    <xf numFmtId="0" fontId="11" fillId="0" borderId="6" xfId="0" applyFont="1" applyBorder="1" applyAlignment="1">
      <alignment horizontal="center" vertical="center" textRotation="180" wrapText="1"/>
    </xf>
    <xf numFmtId="0" fontId="0" fillId="0" borderId="14" xfId="0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14" fontId="1" fillId="0" borderId="12" xfId="0" applyNumberFormat="1" applyFont="1" applyBorder="1" applyAlignment="1" applyProtection="1">
      <alignment horizontal="center"/>
      <protection locked="0"/>
    </xf>
    <xf numFmtId="14" fontId="1" fillId="0" borderId="11" xfId="0" applyNumberFormat="1" applyFon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center"/>
      <protection hidden="1"/>
    </xf>
    <xf numFmtId="4" fontId="1" fillId="0" borderId="11" xfId="0" applyNumberFormat="1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2" fontId="3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top" wrapText="1"/>
      <protection hidden="1"/>
    </xf>
    <xf numFmtId="0" fontId="1" fillId="0" borderId="6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right"/>
      <protection locked="0"/>
    </xf>
    <xf numFmtId="0" fontId="0" fillId="0" borderId="4" xfId="0" applyBorder="1" applyAlignment="1" applyProtection="1">
      <alignment/>
      <protection locked="0"/>
    </xf>
    <xf numFmtId="0" fontId="1" fillId="0" borderId="9" xfId="0" applyFont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right"/>
    </xf>
    <xf numFmtId="0" fontId="0" fillId="0" borderId="12" xfId="0" applyBorder="1" applyAlignment="1">
      <alignment horizontal="right"/>
    </xf>
    <xf numFmtId="4" fontId="1" fillId="0" borderId="5" xfId="0" applyNumberFormat="1" applyFont="1" applyBorder="1" applyAlignment="1" applyProtection="1">
      <alignment horizontal="left" vertical="center" wrapText="1"/>
      <protection/>
    </xf>
    <xf numFmtId="0" fontId="0" fillId="0" borderId="5" xfId="0" applyBorder="1" applyAlignment="1">
      <alignment horizontal="left"/>
    </xf>
    <xf numFmtId="0" fontId="0" fillId="0" borderId="11" xfId="0" applyBorder="1" applyAlignment="1">
      <alignment horizontal="left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2" fontId="3" fillId="0" borderId="5" xfId="0" applyNumberFormat="1" applyFont="1" applyFill="1" applyBorder="1" applyAlignment="1" applyProtection="1">
      <alignment horizontal="center"/>
      <protection locked="0"/>
    </xf>
    <xf numFmtId="2" fontId="3" fillId="0" borderId="1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textRotation="180"/>
      <protection hidden="1"/>
    </xf>
    <xf numFmtId="0" fontId="1" fillId="0" borderId="6" xfId="0" applyFont="1" applyBorder="1" applyAlignment="1" applyProtection="1">
      <alignment vertical="top"/>
      <protection hidden="1"/>
    </xf>
    <xf numFmtId="0" fontId="1" fillId="0" borderId="3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 vertical="center" wrapText="1"/>
      <protection locked="0"/>
    </xf>
    <xf numFmtId="2" fontId="3" fillId="0" borderId="15" xfId="0" applyNumberFormat="1" applyFont="1" applyBorder="1" applyAlignment="1" applyProtection="1">
      <alignment horizontal="center" vertical="center" wrapText="1"/>
      <protection locked="0"/>
    </xf>
    <xf numFmtId="2" fontId="0" fillId="0" borderId="14" xfId="0" applyNumberForma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horizontal="center" vertical="center"/>
      <protection locked="0"/>
    </xf>
    <xf numFmtId="2" fontId="0" fillId="0" borderId="8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center"/>
    </xf>
    <xf numFmtId="0" fontId="3" fillId="0" borderId="2" xfId="0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2" fontId="3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/>
      <protection locked="0"/>
    </xf>
    <xf numFmtId="0" fontId="3" fillId="0" borderId="9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>
      <alignment/>
    </xf>
    <xf numFmtId="0" fontId="3" fillId="0" borderId="2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7" xfId="0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vertical="center" textRotation="180"/>
      <protection/>
    </xf>
    <xf numFmtId="0" fontId="1" fillId="0" borderId="6" xfId="0" applyFont="1" applyBorder="1" applyAlignment="1" applyProtection="1">
      <alignment vertical="center"/>
      <protection/>
    </xf>
    <xf numFmtId="0" fontId="1" fillId="0" borderId="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vertical="center"/>
      <protection/>
    </xf>
    <xf numFmtId="0" fontId="1" fillId="0" borderId="2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wrapText="1"/>
      <protection/>
    </xf>
    <xf numFmtId="0" fontId="1" fillId="0" borderId="6" xfId="0" applyFont="1" applyBorder="1" applyAlignment="1" applyProtection="1">
      <alignment wrapText="1"/>
      <protection/>
    </xf>
    <xf numFmtId="0" fontId="1" fillId="0" borderId="6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top" wrapText="1"/>
      <protection/>
    </xf>
    <xf numFmtId="0" fontId="1" fillId="0" borderId="7" xfId="0" applyFont="1" applyBorder="1" applyAlignment="1" applyProtection="1">
      <alignment horizontal="center" vertical="top" wrapText="1"/>
      <protection/>
    </xf>
    <xf numFmtId="0" fontId="1" fillId="0" borderId="7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top" textRotation="180"/>
      <protection/>
    </xf>
    <xf numFmtId="0" fontId="1" fillId="0" borderId="6" xfId="0" applyFont="1" applyBorder="1" applyAlignment="1" applyProtection="1">
      <alignment vertical="top"/>
      <protection/>
    </xf>
    <xf numFmtId="0" fontId="1" fillId="0" borderId="3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2" fontId="3" fillId="0" borderId="15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  <protection locked="0"/>
    </xf>
    <xf numFmtId="2" fontId="3" fillId="0" borderId="13" xfId="0" applyNumberFormat="1" applyFont="1" applyBorder="1" applyAlignment="1" applyProtection="1">
      <alignment horizontal="center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2" fontId="3" fillId="0" borderId="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right" vertical="top" wrapText="1"/>
      <protection/>
    </xf>
    <xf numFmtId="0" fontId="0" fillId="0" borderId="5" xfId="0" applyBorder="1" applyAlignment="1">
      <alignment horizontal="right"/>
    </xf>
    <xf numFmtId="4" fontId="3" fillId="0" borderId="5" xfId="0" applyNumberFormat="1" applyFont="1" applyBorder="1" applyAlignment="1" applyProtection="1">
      <alignment horizontal="left" vertical="top" wrapText="1"/>
      <protection/>
    </xf>
    <xf numFmtId="0" fontId="1" fillId="0" borderId="6" xfId="0" applyFont="1" applyBorder="1" applyAlignment="1" applyProtection="1">
      <alignment horizontal="center"/>
      <protection/>
    </xf>
    <xf numFmtId="0" fontId="0" fillId="0" borderId="3" xfId="0" applyBorder="1" applyAlignment="1">
      <alignment horizontal="center"/>
    </xf>
    <xf numFmtId="0" fontId="1" fillId="0" borderId="9" xfId="0" applyFont="1" applyBorder="1" applyAlignment="1" applyProtection="1">
      <alignment horizontal="center" vertical="top" wrapText="1"/>
      <protection/>
    </xf>
    <xf numFmtId="0" fontId="0" fillId="0" borderId="9" xfId="0" applyBorder="1" applyAlignment="1">
      <alignment horizontal="center" vertical="top" wrapText="1"/>
    </xf>
    <xf numFmtId="0" fontId="1" fillId="0" borderId="3" xfId="0" applyFont="1" applyBorder="1" applyAlignment="1" applyProtection="1">
      <alignment horizontal="center"/>
      <protection/>
    </xf>
    <xf numFmtId="14" fontId="3" fillId="0" borderId="9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right" wrapText="1"/>
      <protection/>
    </xf>
    <xf numFmtId="0" fontId="3" fillId="0" borderId="7" xfId="0" applyFont="1" applyBorder="1" applyAlignment="1" applyProtection="1">
      <alignment horizontal="right" wrapText="1"/>
      <protection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2" fontId="3" fillId="0" borderId="13" xfId="0" applyNumberFormat="1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right" wrapText="1"/>
      <protection/>
    </xf>
    <xf numFmtId="4" fontId="3" fillId="0" borderId="5" xfId="0" applyNumberFormat="1" applyFont="1" applyBorder="1" applyAlignment="1" applyProtection="1">
      <alignment horizontal="left" vertical="center" wrapText="1"/>
      <protection/>
    </xf>
    <xf numFmtId="0" fontId="1" fillId="0" borderId="6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9" xfId="0" applyFont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/>
    </xf>
    <xf numFmtId="0" fontId="11" fillId="0" borderId="9" xfId="0" applyFont="1" applyBorder="1" applyAlignment="1" applyProtection="1">
      <alignment horizontal="center" vertical="center" textRotation="180" wrapText="1"/>
      <protection hidden="1"/>
    </xf>
    <xf numFmtId="0" fontId="11" fillId="0" borderId="9" xfId="0" applyFont="1" applyBorder="1" applyAlignment="1">
      <alignment horizontal="center" vertical="center" textRotation="180" wrapText="1"/>
    </xf>
    <xf numFmtId="2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/>
    </xf>
    <xf numFmtId="4" fontId="1" fillId="0" borderId="12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2" fontId="3" fillId="0" borderId="9" xfId="0" applyNumberFormat="1" applyFont="1" applyBorder="1" applyAlignment="1" applyProtection="1">
      <alignment horizontal="center" vertical="center" wrapText="1"/>
      <protection/>
    </xf>
    <xf numFmtId="2" fontId="0" fillId="0" borderId="9" xfId="0" applyNumberFormat="1" applyBorder="1" applyAlignment="1">
      <alignment/>
    </xf>
    <xf numFmtId="4" fontId="1" fillId="0" borderId="11" xfId="0" applyNumberFormat="1" applyFont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 vertical="center"/>
      <protection locked="0"/>
    </xf>
    <xf numFmtId="4" fontId="3" fillId="0" borderId="11" xfId="0" applyNumberFormat="1" applyFont="1" applyBorder="1" applyAlignment="1" applyProtection="1">
      <alignment horizontal="left" vertical="center" wrapText="1"/>
      <protection/>
    </xf>
    <xf numFmtId="0" fontId="3" fillId="0" borderId="5" xfId="0" applyFont="1" applyBorder="1" applyAlignment="1" applyProtection="1">
      <alignment horizontal="right" wrapText="1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J142"/>
  <sheetViews>
    <sheetView showGridLines="0" tabSelected="1" workbookViewId="0" topLeftCell="A1">
      <selection activeCell="T48" sqref="T48"/>
    </sheetView>
  </sheetViews>
  <sheetFormatPr defaultColWidth="9.140625" defaultRowHeight="12.75"/>
  <cols>
    <col min="1" max="1" width="0.9921875" style="1" customWidth="1"/>
    <col min="2" max="2" width="5.57421875" style="1" customWidth="1"/>
    <col min="3" max="3" width="8.57421875" style="1" customWidth="1"/>
    <col min="4" max="4" width="7.28125" style="1" customWidth="1"/>
    <col min="5" max="5" width="8.8515625" style="1" customWidth="1"/>
    <col min="6" max="6" width="7.57421875" style="1" customWidth="1"/>
    <col min="7" max="7" width="9.140625" style="1" customWidth="1"/>
    <col min="8" max="8" width="8.28125" style="1" customWidth="1"/>
    <col min="9" max="9" width="7.00390625" style="1" customWidth="1"/>
    <col min="10" max="10" width="8.140625" style="1" customWidth="1"/>
    <col min="11" max="11" width="7.8515625" style="1" customWidth="1"/>
    <col min="12" max="12" width="5.7109375" style="1" customWidth="1"/>
    <col min="13" max="13" width="7.421875" style="1" customWidth="1"/>
    <col min="14" max="14" width="7.28125" style="1" customWidth="1"/>
    <col min="15" max="15" width="7.140625" style="1" customWidth="1"/>
    <col min="16" max="16" width="3.28125" style="1" customWidth="1"/>
    <col min="17" max="17" width="5.8515625" style="1" customWidth="1"/>
    <col min="18" max="18" width="3.140625" style="1" customWidth="1"/>
    <col min="19" max="19" width="6.57421875" style="1" customWidth="1"/>
    <col min="20" max="20" width="3.421875" style="1" customWidth="1"/>
    <col min="21" max="22" width="3.140625" style="1" customWidth="1"/>
    <col min="23" max="23" width="6.421875" style="1" customWidth="1"/>
    <col min="24" max="24" width="7.28125" style="1" customWidth="1"/>
    <col min="25" max="25" width="8.421875" style="1" customWidth="1"/>
    <col min="26" max="16384" width="9.140625" style="1" customWidth="1"/>
  </cols>
  <sheetData>
    <row r="1" spans="1:88" ht="12.75">
      <c r="A1" s="12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</row>
    <row r="2" spans="1:88" ht="13.5">
      <c r="A2" s="12"/>
      <c r="B2" s="3" t="s">
        <v>203</v>
      </c>
      <c r="C2" s="3"/>
      <c r="D2" s="3"/>
      <c r="E2" s="3"/>
      <c r="F2" s="12"/>
      <c r="G2" s="42"/>
      <c r="H2" s="5" t="s">
        <v>99</v>
      </c>
      <c r="I2" s="12"/>
      <c r="J2" s="1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</row>
    <row r="3" spans="1:88" ht="12.75">
      <c r="A3" s="12"/>
      <c r="B3" s="5"/>
      <c r="C3" s="5"/>
      <c r="D3" s="4"/>
      <c r="E3" s="4"/>
      <c r="F3" s="5"/>
      <c r="G3" s="12"/>
      <c r="H3" s="5" t="s">
        <v>66</v>
      </c>
      <c r="I3" s="12"/>
      <c r="J3" s="12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</row>
    <row r="4" spans="1:88" ht="12.75">
      <c r="A4" s="1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</row>
    <row r="5" spans="1:88" ht="12.75">
      <c r="A5" s="12"/>
      <c r="B5" s="5"/>
      <c r="C5" s="5"/>
      <c r="D5" s="5" t="s">
        <v>90</v>
      </c>
      <c r="E5" s="6"/>
      <c r="F5" s="18" t="s">
        <v>1</v>
      </c>
      <c r="G5" s="6"/>
      <c r="H5" s="28"/>
      <c r="I5" s="28"/>
      <c r="J5" s="28"/>
      <c r="K5" s="163" t="s">
        <v>2</v>
      </c>
      <c r="L5" s="164"/>
      <c r="M5" s="165"/>
      <c r="N5" s="165"/>
      <c r="O5" s="13"/>
      <c r="P5" s="12"/>
      <c r="Q5" s="12"/>
      <c r="R5" s="12"/>
      <c r="S5" s="12"/>
      <c r="T5" s="13"/>
      <c r="U5" s="13"/>
      <c r="V5" s="28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</row>
    <row r="6" spans="1:88" ht="12.75">
      <c r="A6" s="12"/>
      <c r="B6" s="12"/>
      <c r="C6" s="5"/>
      <c r="D6" s="7" t="s">
        <v>108</v>
      </c>
      <c r="E6" s="230"/>
      <c r="F6" s="231"/>
      <c r="G6" s="232"/>
      <c r="H6" s="28"/>
      <c r="I6" s="28"/>
      <c r="J6" s="28"/>
      <c r="K6" s="28"/>
      <c r="L6" s="28"/>
      <c r="M6" s="28"/>
      <c r="N6" s="28"/>
      <c r="O6" s="28"/>
      <c r="P6" s="28"/>
      <c r="Q6" s="236"/>
      <c r="R6" s="236"/>
      <c r="S6" s="236"/>
      <c r="T6" s="28"/>
      <c r="U6" s="28"/>
      <c r="V6" s="28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</row>
    <row r="7" spans="1:88" ht="12.75" customHeight="1">
      <c r="A7" s="12"/>
      <c r="B7" s="5"/>
      <c r="C7" s="7"/>
      <c r="D7" s="7" t="s">
        <v>3</v>
      </c>
      <c r="E7" s="160"/>
      <c r="F7" s="154"/>
      <c r="G7" s="211"/>
      <c r="H7" s="7"/>
      <c r="I7" s="7"/>
      <c r="J7" s="7" t="s">
        <v>50</v>
      </c>
      <c r="K7" s="160"/>
      <c r="L7" s="154"/>
      <c r="M7" s="200"/>
      <c r="N7" s="201"/>
      <c r="O7" s="13"/>
      <c r="P7" s="13" t="s">
        <v>86</v>
      </c>
      <c r="Q7" s="13"/>
      <c r="R7" s="13"/>
      <c r="S7" s="165"/>
      <c r="T7" s="165"/>
      <c r="U7" s="13"/>
      <c r="V7" s="28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</row>
    <row r="8" spans="1:88" ht="12.75">
      <c r="A8" s="12"/>
      <c r="B8" s="5"/>
      <c r="C8" s="7"/>
      <c r="D8" s="7" t="s">
        <v>5</v>
      </c>
      <c r="E8" s="202"/>
      <c r="F8" s="203"/>
      <c r="G8" s="212"/>
      <c r="H8" s="15"/>
      <c r="I8" s="15"/>
      <c r="J8" s="7" t="s">
        <v>51</v>
      </c>
      <c r="K8" s="202"/>
      <c r="L8" s="203"/>
      <c r="M8" s="204"/>
      <c r="N8" s="205"/>
      <c r="O8" s="139" t="s">
        <v>174</v>
      </c>
      <c r="P8" s="12"/>
      <c r="Q8" s="12"/>
      <c r="R8" s="12"/>
      <c r="S8" s="12"/>
      <c r="T8" s="12"/>
      <c r="U8" s="12"/>
      <c r="V8" s="2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</row>
    <row r="9" spans="1:88" ht="12.75">
      <c r="A9" s="12"/>
      <c r="B9" s="5"/>
      <c r="C9" s="5"/>
      <c r="D9" s="7"/>
      <c r="E9" s="213"/>
      <c r="F9" s="214"/>
      <c r="G9" s="215"/>
      <c r="H9" s="28"/>
      <c r="I9" s="28"/>
      <c r="J9" s="7" t="s">
        <v>46</v>
      </c>
      <c r="K9" s="206"/>
      <c r="L9" s="207"/>
      <c r="M9" s="207"/>
      <c r="N9" s="208"/>
      <c r="O9" s="14"/>
      <c r="P9" s="13" t="s">
        <v>89</v>
      </c>
      <c r="Q9" s="12"/>
      <c r="R9" s="14"/>
      <c r="S9" s="237"/>
      <c r="T9" s="237"/>
      <c r="U9" s="14"/>
      <c r="V9" s="28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</row>
    <row r="10" spans="1:88" ht="12.75" customHeight="1">
      <c r="A10" s="12"/>
      <c r="B10" s="5"/>
      <c r="C10" s="7"/>
      <c r="D10" s="7" t="s">
        <v>7</v>
      </c>
      <c r="E10" s="160"/>
      <c r="F10" s="154"/>
      <c r="G10" s="211"/>
      <c r="H10" s="28"/>
      <c r="I10" s="28"/>
      <c r="J10" s="7" t="s">
        <v>47</v>
      </c>
      <c r="K10" s="160"/>
      <c r="L10" s="154"/>
      <c r="M10" s="200"/>
      <c r="N10" s="201"/>
      <c r="O10" s="141" t="s">
        <v>193</v>
      </c>
      <c r="P10" s="12"/>
      <c r="Q10" s="13"/>
      <c r="R10" s="12"/>
      <c r="S10" s="12"/>
      <c r="T10" s="12"/>
      <c r="U10" s="12"/>
      <c r="V10" s="12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</row>
    <row r="11" spans="1:88" ht="12.75" customHeight="1">
      <c r="A11" s="12"/>
      <c r="B11" s="5"/>
      <c r="C11" s="5"/>
      <c r="D11" s="7"/>
      <c r="E11" s="4"/>
      <c r="F11" s="4"/>
      <c r="G11" s="12"/>
      <c r="H11" s="25" t="s">
        <v>119</v>
      </c>
      <c r="I11" s="28"/>
      <c r="J11" s="28"/>
      <c r="K11" s="28"/>
      <c r="L11" s="28"/>
      <c r="M11" s="28"/>
      <c r="N11" s="28"/>
      <c r="O11" s="148"/>
      <c r="P11" s="28"/>
      <c r="Q11" s="28"/>
      <c r="R11" s="28"/>
      <c r="S11" s="19"/>
      <c r="T11" s="19"/>
      <c r="U11" s="19"/>
      <c r="V11" s="19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</row>
    <row r="12" spans="1:88" ht="16.5" customHeight="1">
      <c r="A12" s="12"/>
      <c r="B12" s="5"/>
      <c r="C12" s="5"/>
      <c r="D12" s="7" t="s">
        <v>8</v>
      </c>
      <c r="E12" s="216"/>
      <c r="F12" s="216"/>
      <c r="G12" s="216"/>
      <c r="H12" s="28"/>
      <c r="I12" s="28"/>
      <c r="J12" s="7" t="s">
        <v>9</v>
      </c>
      <c r="K12" s="209"/>
      <c r="L12" s="210"/>
      <c r="M12" s="210"/>
      <c r="N12" s="166" t="s">
        <v>109</v>
      </c>
      <c r="O12" s="161"/>
      <c r="P12" s="161"/>
      <c r="Q12" s="159"/>
      <c r="R12" s="238"/>
      <c r="S12" s="239"/>
      <c r="T12" s="239"/>
      <c r="U12" s="239"/>
      <c r="V12" s="240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</row>
    <row r="13" spans="1:88" ht="12.75" customHeight="1">
      <c r="A13" s="12"/>
      <c r="B13" s="5"/>
      <c r="C13" s="5"/>
      <c r="D13" s="5"/>
      <c r="E13" s="216"/>
      <c r="F13" s="216"/>
      <c r="G13" s="216"/>
      <c r="H13" s="28"/>
      <c r="I13" s="28"/>
      <c r="J13" s="7" t="s">
        <v>10</v>
      </c>
      <c r="K13" s="210"/>
      <c r="L13" s="210"/>
      <c r="M13" s="210"/>
      <c r="N13" s="161"/>
      <c r="O13" s="161"/>
      <c r="P13" s="161"/>
      <c r="Q13" s="159"/>
      <c r="R13" s="241"/>
      <c r="S13" s="242"/>
      <c r="T13" s="242"/>
      <c r="U13" s="242"/>
      <c r="V13" s="24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</row>
    <row r="14" spans="1:88" s="2" customFormat="1" ht="12.75">
      <c r="A14" s="20"/>
      <c r="B14" s="10"/>
      <c r="C14" s="17" t="s">
        <v>11</v>
      </c>
      <c r="D14" s="17" t="s">
        <v>12</v>
      </c>
      <c r="E14" s="17" t="s">
        <v>13</v>
      </c>
      <c r="F14" s="26" t="s">
        <v>14</v>
      </c>
      <c r="G14" s="26" t="s">
        <v>15</v>
      </c>
      <c r="H14" s="17" t="s">
        <v>16</v>
      </c>
      <c r="I14" s="17" t="s">
        <v>17</v>
      </c>
      <c r="J14" s="17" t="s">
        <v>18</v>
      </c>
      <c r="K14" s="17" t="s">
        <v>19</v>
      </c>
      <c r="L14" s="17" t="s">
        <v>20</v>
      </c>
      <c r="M14" s="17" t="s">
        <v>21</v>
      </c>
      <c r="N14" s="17" t="s">
        <v>40</v>
      </c>
      <c r="O14" s="17" t="s">
        <v>44</v>
      </c>
      <c r="P14" s="17"/>
      <c r="Q14" s="16" t="s">
        <v>45</v>
      </c>
      <c r="R14" s="11"/>
      <c r="S14" s="49" t="s">
        <v>93</v>
      </c>
      <c r="T14" s="11"/>
      <c r="U14" s="65" t="s">
        <v>31</v>
      </c>
      <c r="V14" s="23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</row>
    <row r="15" spans="1:88" ht="12.75" customHeight="1">
      <c r="A15" s="12"/>
      <c r="B15" s="38"/>
      <c r="C15" s="39"/>
      <c r="D15" s="39"/>
      <c r="E15" s="39"/>
      <c r="F15" s="39"/>
      <c r="G15" s="40"/>
      <c r="H15" s="39"/>
      <c r="I15" s="41"/>
      <c r="J15" s="41"/>
      <c r="K15" s="12"/>
      <c r="L15" s="233" t="s">
        <v>125</v>
      </c>
      <c r="M15" s="43" t="s">
        <v>68</v>
      </c>
      <c r="N15" s="52"/>
      <c r="O15" s="43" t="s">
        <v>25</v>
      </c>
      <c r="P15" s="191" t="s">
        <v>126</v>
      </c>
      <c r="Q15" s="192"/>
      <c r="R15" s="191" t="s">
        <v>127</v>
      </c>
      <c r="S15" s="192"/>
      <c r="T15" s="191" t="s">
        <v>128</v>
      </c>
      <c r="U15" s="197"/>
      <c r="V15" s="198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</row>
    <row r="16" spans="1:88" ht="13.5" customHeight="1">
      <c r="A16" s="12"/>
      <c r="B16" s="40"/>
      <c r="C16" s="40"/>
      <c r="D16" s="41"/>
      <c r="E16" s="42"/>
      <c r="F16" s="43" t="s">
        <v>25</v>
      </c>
      <c r="G16" s="43" t="s">
        <v>103</v>
      </c>
      <c r="H16" s="41"/>
      <c r="I16" s="42"/>
      <c r="J16" s="43" t="s">
        <v>41</v>
      </c>
      <c r="K16" s="43" t="s">
        <v>41</v>
      </c>
      <c r="L16" s="234"/>
      <c r="M16" s="43" t="s">
        <v>41</v>
      </c>
      <c r="N16" s="43" t="s">
        <v>30</v>
      </c>
      <c r="O16" s="53" t="s">
        <v>106</v>
      </c>
      <c r="P16" s="193"/>
      <c r="Q16" s="194"/>
      <c r="R16" s="193"/>
      <c r="S16" s="194"/>
      <c r="T16" s="199"/>
      <c r="U16" s="170"/>
      <c r="V16" s="171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</row>
    <row r="17" spans="1:88" ht="12.75">
      <c r="A17" s="12"/>
      <c r="B17" s="43" t="s">
        <v>95</v>
      </c>
      <c r="C17" s="43" t="s">
        <v>23</v>
      </c>
      <c r="D17" s="43" t="s">
        <v>53</v>
      </c>
      <c r="E17" s="43" t="s">
        <v>100</v>
      </c>
      <c r="F17" s="43" t="s">
        <v>102</v>
      </c>
      <c r="G17" s="43" t="s">
        <v>59</v>
      </c>
      <c r="H17" s="43" t="s">
        <v>62</v>
      </c>
      <c r="I17" s="43" t="s">
        <v>85</v>
      </c>
      <c r="J17" s="43" t="s">
        <v>42</v>
      </c>
      <c r="K17" s="43" t="s">
        <v>42</v>
      </c>
      <c r="L17" s="234"/>
      <c r="M17" s="217" t="s">
        <v>107</v>
      </c>
      <c r="N17" s="43" t="s">
        <v>39</v>
      </c>
      <c r="O17" s="53" t="s">
        <v>39</v>
      </c>
      <c r="P17" s="193"/>
      <c r="Q17" s="194"/>
      <c r="R17" s="193"/>
      <c r="S17" s="194"/>
      <c r="T17" s="172" t="s">
        <v>120</v>
      </c>
      <c r="U17" s="172" t="s">
        <v>122</v>
      </c>
      <c r="V17" s="168" t="s">
        <v>121</v>
      </c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</row>
    <row r="18" spans="1:88" ht="14.25" customHeight="1">
      <c r="A18" s="12"/>
      <c r="B18" s="43" t="s">
        <v>96</v>
      </c>
      <c r="C18" s="43" t="s">
        <v>27</v>
      </c>
      <c r="D18" s="43" t="s">
        <v>54</v>
      </c>
      <c r="E18" s="43" t="s">
        <v>117</v>
      </c>
      <c r="F18" s="43" t="s">
        <v>101</v>
      </c>
      <c r="G18" s="43" t="s">
        <v>104</v>
      </c>
      <c r="H18" s="43" t="s">
        <v>118</v>
      </c>
      <c r="I18" s="43" t="s">
        <v>123</v>
      </c>
      <c r="J18" s="43" t="s">
        <v>124</v>
      </c>
      <c r="K18" s="43" t="s">
        <v>129</v>
      </c>
      <c r="L18" s="234"/>
      <c r="M18" s="218"/>
      <c r="N18" s="43" t="s">
        <v>26</v>
      </c>
      <c r="O18" s="53" t="s">
        <v>26</v>
      </c>
      <c r="P18" s="193"/>
      <c r="Q18" s="194"/>
      <c r="R18" s="193"/>
      <c r="S18" s="194"/>
      <c r="T18" s="173"/>
      <c r="U18" s="173"/>
      <c r="V18" s="169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</row>
    <row r="19" spans="1:88" ht="13.5" customHeight="1">
      <c r="A19" s="12"/>
      <c r="B19" s="44"/>
      <c r="C19" s="40"/>
      <c r="D19" s="43" t="s">
        <v>55</v>
      </c>
      <c r="E19" s="43" t="s">
        <v>101</v>
      </c>
      <c r="F19" s="43" t="s">
        <v>57</v>
      </c>
      <c r="G19" s="43" t="s">
        <v>61</v>
      </c>
      <c r="H19" s="41"/>
      <c r="I19" s="42"/>
      <c r="J19" s="43" t="s">
        <v>105</v>
      </c>
      <c r="K19" s="43" t="s">
        <v>105</v>
      </c>
      <c r="L19" s="234"/>
      <c r="M19" s="218"/>
      <c r="N19" s="43" t="s">
        <v>64</v>
      </c>
      <c r="O19" s="53" t="s">
        <v>94</v>
      </c>
      <c r="P19" s="195"/>
      <c r="Q19" s="196"/>
      <c r="R19" s="195"/>
      <c r="S19" s="196"/>
      <c r="T19" s="173"/>
      <c r="U19" s="173"/>
      <c r="V19" s="16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</row>
    <row r="20" spans="1:88" ht="13.5" customHeight="1">
      <c r="A20" s="12"/>
      <c r="B20" s="45"/>
      <c r="C20" s="45"/>
      <c r="D20" s="46" t="s">
        <v>31</v>
      </c>
      <c r="E20" s="45"/>
      <c r="F20" s="47"/>
      <c r="G20" s="47"/>
      <c r="H20" s="48"/>
      <c r="I20" s="54"/>
      <c r="J20" s="55"/>
      <c r="K20" s="51"/>
      <c r="L20" s="235"/>
      <c r="M20" s="219"/>
      <c r="N20" s="54"/>
      <c r="O20" s="55"/>
      <c r="P20" s="66" t="s">
        <v>33</v>
      </c>
      <c r="Q20" s="67">
        <f>IF(K12="","",(CONCATENATE(K12)-R46))</f>
      </c>
      <c r="R20" s="66" t="s">
        <v>43</v>
      </c>
      <c r="S20" s="67">
        <f>IF(R12="","",(CONCATENATE(R12)-T46))</f>
      </c>
      <c r="T20" s="167"/>
      <c r="U20" s="167"/>
      <c r="V20" s="162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</row>
    <row r="21" spans="1:88" ht="12.75" customHeight="1">
      <c r="A21" s="12"/>
      <c r="B21" s="56"/>
      <c r="C21" s="63"/>
      <c r="D21" s="58"/>
      <c r="E21" s="59"/>
      <c r="F21" s="60">
        <f aca="true" t="shared" si="0" ref="F21:F33">IF(E21="","",D21*E21)</f>
      </c>
      <c r="G21" s="60">
        <f>IF(F21="","",F21/E6)</f>
      </c>
      <c r="H21" s="59"/>
      <c r="I21" s="59"/>
      <c r="J21" s="61"/>
      <c r="K21" s="118"/>
      <c r="L21" s="50">
        <f aca="true" t="shared" si="1" ref="L21:L33">IF(I21="","",IF(AND($S$9="Swine",H21="si",I21="liquid"),0.8,C100))</f>
      </c>
      <c r="M21" s="50">
        <f aca="true" t="shared" si="2" ref="M21:M33">IF(L21="","",K21/L21)</f>
      </c>
      <c r="N21" s="62">
        <f>IF(J21="","",(G21*J21))</f>
      </c>
      <c r="O21" s="62">
        <f>IF(M21="","",(G21*M21))</f>
      </c>
      <c r="P21" s="189">
        <f>IF(N21="","",Q20-N21)</f>
      </c>
      <c r="Q21" s="190"/>
      <c r="R21" s="189">
        <f>IF(O21="","",S20-O21)</f>
      </c>
      <c r="S21" s="190"/>
      <c r="T21" s="64"/>
      <c r="U21" s="61"/>
      <c r="V21" s="6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</row>
    <row r="22" spans="1:88" ht="12.75" customHeight="1">
      <c r="A22" s="12"/>
      <c r="B22" s="56"/>
      <c r="C22" s="63"/>
      <c r="D22" s="58"/>
      <c r="E22" s="59"/>
      <c r="F22" s="60">
        <f t="shared" si="0"/>
      </c>
      <c r="G22" s="60">
        <f>IF(F22="","",F22/E6)</f>
      </c>
      <c r="H22" s="59"/>
      <c r="I22" s="59"/>
      <c r="J22" s="61"/>
      <c r="K22" s="61"/>
      <c r="L22" s="50">
        <f t="shared" si="1"/>
      </c>
      <c r="M22" s="50">
        <f t="shared" si="2"/>
      </c>
      <c r="N22" s="62">
        <f aca="true" t="shared" si="3" ref="N22:N33">IF(J22="","",(G22*J22))</f>
      </c>
      <c r="O22" s="62">
        <f aca="true" t="shared" si="4" ref="O22:O33">IF(M22="","",(G22*M22))</f>
      </c>
      <c r="P22" s="189">
        <f aca="true" t="shared" si="5" ref="P22:P33">IF(N22="","",P21-N22)</f>
      </c>
      <c r="Q22" s="190"/>
      <c r="R22" s="189">
        <f aca="true" t="shared" si="6" ref="R22:R33">IF(O22="","",R21-O22)</f>
      </c>
      <c r="S22" s="190"/>
      <c r="T22" s="64"/>
      <c r="U22" s="61"/>
      <c r="V22" s="61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</row>
    <row r="23" spans="1:88" ht="12.75" customHeight="1">
      <c r="A23" s="12"/>
      <c r="B23" s="56"/>
      <c r="C23" s="63"/>
      <c r="D23" s="58"/>
      <c r="E23" s="59"/>
      <c r="F23" s="60">
        <f t="shared" si="0"/>
      </c>
      <c r="G23" s="60">
        <f>IF(F23="","",F23/E6)</f>
      </c>
      <c r="H23" s="59"/>
      <c r="I23" s="59"/>
      <c r="J23" s="61"/>
      <c r="K23" s="61"/>
      <c r="L23" s="50">
        <f t="shared" si="1"/>
      </c>
      <c r="M23" s="50">
        <f t="shared" si="2"/>
      </c>
      <c r="N23" s="62">
        <f t="shared" si="3"/>
      </c>
      <c r="O23" s="62">
        <f t="shared" si="4"/>
      </c>
      <c r="P23" s="189">
        <f t="shared" si="5"/>
      </c>
      <c r="Q23" s="190"/>
      <c r="R23" s="189">
        <f t="shared" si="6"/>
      </c>
      <c r="S23" s="190"/>
      <c r="T23" s="64"/>
      <c r="U23" s="61"/>
      <c r="V23" s="61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</row>
    <row r="24" spans="1:88" ht="12.75" customHeight="1">
      <c r="A24" s="12"/>
      <c r="B24" s="56"/>
      <c r="C24" s="63"/>
      <c r="D24" s="58"/>
      <c r="E24" s="59"/>
      <c r="F24" s="60">
        <f t="shared" si="0"/>
      </c>
      <c r="G24" s="60">
        <f>IF(F24="","",F24/E6)</f>
      </c>
      <c r="H24" s="59"/>
      <c r="I24" s="59"/>
      <c r="J24" s="61"/>
      <c r="K24" s="61"/>
      <c r="L24" s="50">
        <f t="shared" si="1"/>
      </c>
      <c r="M24" s="50">
        <f t="shared" si="2"/>
      </c>
      <c r="N24" s="62">
        <f t="shared" si="3"/>
      </c>
      <c r="O24" s="62">
        <f t="shared" si="4"/>
      </c>
      <c r="P24" s="189">
        <f t="shared" si="5"/>
      </c>
      <c r="Q24" s="190"/>
      <c r="R24" s="189">
        <f t="shared" si="6"/>
      </c>
      <c r="S24" s="190"/>
      <c r="T24" s="64"/>
      <c r="U24" s="61"/>
      <c r="V24" s="61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</row>
    <row r="25" spans="1:88" ht="12.75" customHeight="1">
      <c r="A25" s="12"/>
      <c r="B25" s="56"/>
      <c r="C25" s="63"/>
      <c r="D25" s="58"/>
      <c r="E25" s="59"/>
      <c r="F25" s="60">
        <f t="shared" si="0"/>
      </c>
      <c r="G25" s="60">
        <f>IF(F25="","",F25/E6)</f>
      </c>
      <c r="H25" s="59"/>
      <c r="I25" s="59"/>
      <c r="J25" s="61"/>
      <c r="K25" s="61"/>
      <c r="L25" s="50">
        <f t="shared" si="1"/>
      </c>
      <c r="M25" s="50">
        <f t="shared" si="2"/>
      </c>
      <c r="N25" s="62">
        <f t="shared" si="3"/>
      </c>
      <c r="O25" s="62">
        <f t="shared" si="4"/>
      </c>
      <c r="P25" s="189">
        <f t="shared" si="5"/>
      </c>
      <c r="Q25" s="190"/>
      <c r="R25" s="189">
        <f t="shared" si="6"/>
      </c>
      <c r="S25" s="190"/>
      <c r="T25" s="64"/>
      <c r="U25" s="61"/>
      <c r="V25" s="61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</row>
    <row r="26" spans="1:88" ht="12.75" customHeight="1">
      <c r="A26" s="12"/>
      <c r="B26" s="56"/>
      <c r="C26" s="63"/>
      <c r="D26" s="58"/>
      <c r="E26" s="59"/>
      <c r="F26" s="60">
        <f t="shared" si="0"/>
      </c>
      <c r="G26" s="60">
        <f>IF(F26="","",F26/E6)</f>
      </c>
      <c r="H26" s="59"/>
      <c r="I26" s="59"/>
      <c r="J26" s="61"/>
      <c r="K26" s="61"/>
      <c r="L26" s="50">
        <f t="shared" si="1"/>
      </c>
      <c r="M26" s="50">
        <f t="shared" si="2"/>
      </c>
      <c r="N26" s="62">
        <f t="shared" si="3"/>
      </c>
      <c r="O26" s="62">
        <f t="shared" si="4"/>
      </c>
      <c r="P26" s="189">
        <f t="shared" si="5"/>
      </c>
      <c r="Q26" s="190"/>
      <c r="R26" s="189">
        <f t="shared" si="6"/>
      </c>
      <c r="S26" s="190"/>
      <c r="T26" s="64"/>
      <c r="U26" s="61"/>
      <c r="V26" s="61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</row>
    <row r="27" spans="1:88" ht="12.75" customHeight="1">
      <c r="A27" s="12"/>
      <c r="B27" s="56"/>
      <c r="C27" s="63"/>
      <c r="D27" s="58"/>
      <c r="E27" s="59"/>
      <c r="F27" s="60">
        <f t="shared" si="0"/>
      </c>
      <c r="G27" s="60">
        <f>IF(F27="","",F27/E6)</f>
      </c>
      <c r="H27" s="59"/>
      <c r="I27" s="59"/>
      <c r="J27" s="61"/>
      <c r="K27" s="61"/>
      <c r="L27" s="50">
        <f t="shared" si="1"/>
      </c>
      <c r="M27" s="50">
        <f t="shared" si="2"/>
      </c>
      <c r="N27" s="62">
        <f t="shared" si="3"/>
      </c>
      <c r="O27" s="62">
        <f t="shared" si="4"/>
      </c>
      <c r="P27" s="189">
        <f t="shared" si="5"/>
      </c>
      <c r="Q27" s="190"/>
      <c r="R27" s="189">
        <f t="shared" si="6"/>
      </c>
      <c r="S27" s="190"/>
      <c r="T27" s="64"/>
      <c r="U27" s="61"/>
      <c r="V27" s="61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</row>
    <row r="28" spans="1:88" ht="12.75" customHeight="1">
      <c r="A28" s="12"/>
      <c r="B28" s="56"/>
      <c r="C28" s="63"/>
      <c r="D28" s="58"/>
      <c r="E28" s="59"/>
      <c r="F28" s="60">
        <f t="shared" si="0"/>
      </c>
      <c r="G28" s="60">
        <f>IF(F28="","",F28/E6)</f>
      </c>
      <c r="H28" s="59"/>
      <c r="I28" s="59"/>
      <c r="J28" s="61"/>
      <c r="K28" s="61"/>
      <c r="L28" s="50">
        <f t="shared" si="1"/>
      </c>
      <c r="M28" s="50">
        <f t="shared" si="2"/>
      </c>
      <c r="N28" s="62">
        <f t="shared" si="3"/>
      </c>
      <c r="O28" s="62">
        <f t="shared" si="4"/>
      </c>
      <c r="P28" s="189">
        <f t="shared" si="5"/>
      </c>
      <c r="Q28" s="190"/>
      <c r="R28" s="189">
        <f t="shared" si="6"/>
      </c>
      <c r="S28" s="190"/>
      <c r="T28" s="64"/>
      <c r="U28" s="61"/>
      <c r="V28" s="61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</row>
    <row r="29" spans="1:88" ht="12.75" customHeight="1">
      <c r="A29" s="12"/>
      <c r="B29" s="56"/>
      <c r="C29" s="63"/>
      <c r="D29" s="58"/>
      <c r="E29" s="59"/>
      <c r="F29" s="60">
        <f t="shared" si="0"/>
      </c>
      <c r="G29" s="60">
        <f>IF(F29="","",F29/E6)</f>
      </c>
      <c r="H29" s="59"/>
      <c r="I29" s="59"/>
      <c r="J29" s="61"/>
      <c r="K29" s="61"/>
      <c r="L29" s="50">
        <f t="shared" si="1"/>
      </c>
      <c r="M29" s="50">
        <f t="shared" si="2"/>
      </c>
      <c r="N29" s="62">
        <f t="shared" si="3"/>
      </c>
      <c r="O29" s="62">
        <f t="shared" si="4"/>
      </c>
      <c r="P29" s="189">
        <f t="shared" si="5"/>
      </c>
      <c r="Q29" s="190"/>
      <c r="R29" s="189">
        <f t="shared" si="6"/>
      </c>
      <c r="S29" s="190"/>
      <c r="T29" s="64"/>
      <c r="U29" s="61"/>
      <c r="V29" s="61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</row>
    <row r="30" spans="1:88" ht="12.75" customHeight="1">
      <c r="A30" s="12"/>
      <c r="B30" s="56"/>
      <c r="C30" s="63"/>
      <c r="D30" s="58"/>
      <c r="E30" s="59"/>
      <c r="F30" s="60">
        <f t="shared" si="0"/>
      </c>
      <c r="G30" s="60">
        <f>IF(F30="","",F30/E6)</f>
      </c>
      <c r="H30" s="59"/>
      <c r="I30" s="59"/>
      <c r="J30" s="61"/>
      <c r="K30" s="61"/>
      <c r="L30" s="50">
        <f t="shared" si="1"/>
      </c>
      <c r="M30" s="50">
        <f t="shared" si="2"/>
      </c>
      <c r="N30" s="62">
        <f t="shared" si="3"/>
      </c>
      <c r="O30" s="62">
        <f t="shared" si="4"/>
      </c>
      <c r="P30" s="189">
        <f t="shared" si="5"/>
      </c>
      <c r="Q30" s="190"/>
      <c r="R30" s="189">
        <f t="shared" si="6"/>
      </c>
      <c r="S30" s="190"/>
      <c r="T30" s="64"/>
      <c r="U30" s="61"/>
      <c r="V30" s="61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</row>
    <row r="31" spans="1:88" ht="12.75" customHeight="1">
      <c r="A31" s="12"/>
      <c r="B31" s="56"/>
      <c r="C31" s="63"/>
      <c r="D31" s="58"/>
      <c r="E31" s="59"/>
      <c r="F31" s="60">
        <f t="shared" si="0"/>
      </c>
      <c r="G31" s="60">
        <f>IF(F31="","",F31/E6)</f>
      </c>
      <c r="H31" s="59"/>
      <c r="I31" s="59"/>
      <c r="J31" s="61"/>
      <c r="K31" s="61"/>
      <c r="L31" s="50">
        <f t="shared" si="1"/>
      </c>
      <c r="M31" s="50">
        <f t="shared" si="2"/>
      </c>
      <c r="N31" s="62">
        <f t="shared" si="3"/>
      </c>
      <c r="O31" s="62">
        <f t="shared" si="4"/>
      </c>
      <c r="P31" s="189">
        <f t="shared" si="5"/>
      </c>
      <c r="Q31" s="190"/>
      <c r="R31" s="189">
        <f t="shared" si="6"/>
      </c>
      <c r="S31" s="190"/>
      <c r="T31" s="64"/>
      <c r="U31" s="61"/>
      <c r="V31" s="6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</row>
    <row r="32" spans="1:88" ht="12.75" customHeight="1">
      <c r="A32" s="12"/>
      <c r="B32" s="56"/>
      <c r="C32" s="63"/>
      <c r="D32" s="58"/>
      <c r="E32" s="59"/>
      <c r="F32" s="60">
        <f t="shared" si="0"/>
      </c>
      <c r="G32" s="60">
        <f>IF(F32="","",F32/E6)</f>
      </c>
      <c r="H32" s="59"/>
      <c r="I32" s="59"/>
      <c r="J32" s="61"/>
      <c r="K32" s="61"/>
      <c r="L32" s="50">
        <f t="shared" si="1"/>
      </c>
      <c r="M32" s="50">
        <f t="shared" si="2"/>
      </c>
      <c r="N32" s="62">
        <f t="shared" si="3"/>
      </c>
      <c r="O32" s="62">
        <f t="shared" si="4"/>
      </c>
      <c r="P32" s="189">
        <f t="shared" si="5"/>
      </c>
      <c r="Q32" s="190"/>
      <c r="R32" s="189">
        <f t="shared" si="6"/>
      </c>
      <c r="S32" s="190"/>
      <c r="T32" s="64"/>
      <c r="U32" s="61"/>
      <c r="V32" s="61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</row>
    <row r="33" spans="1:88" ht="12.75" customHeight="1">
      <c r="A33" s="12"/>
      <c r="B33" s="56"/>
      <c r="C33" s="63"/>
      <c r="D33" s="58"/>
      <c r="E33" s="59"/>
      <c r="F33" s="60">
        <f t="shared" si="0"/>
      </c>
      <c r="G33" s="60">
        <f>IF(F33="","",F33/E6)</f>
      </c>
      <c r="H33" s="59"/>
      <c r="I33" s="59"/>
      <c r="J33" s="61"/>
      <c r="K33" s="61"/>
      <c r="L33" s="50">
        <f t="shared" si="1"/>
      </c>
      <c r="M33" s="50">
        <f t="shared" si="2"/>
      </c>
      <c r="N33" s="62">
        <f t="shared" si="3"/>
      </c>
      <c r="O33" s="62">
        <f t="shared" si="4"/>
      </c>
      <c r="P33" s="189">
        <f t="shared" si="5"/>
      </c>
      <c r="Q33" s="190"/>
      <c r="R33" s="189">
        <f t="shared" si="6"/>
      </c>
      <c r="S33" s="190"/>
      <c r="T33" s="64"/>
      <c r="U33" s="61"/>
      <c r="V33" s="61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</row>
    <row r="34" spans="1:88" ht="13.5" customHeight="1">
      <c r="A34" s="12"/>
      <c r="B34" s="10"/>
      <c r="C34" s="10"/>
      <c r="D34" s="220" t="s">
        <v>210</v>
      </c>
      <c r="E34" s="221"/>
      <c r="F34" s="68">
        <f>SUM(F21:F33)</f>
        <v>0</v>
      </c>
      <c r="G34" s="37"/>
      <c r="H34" s="7"/>
      <c r="I34" s="7"/>
      <c r="J34" s="12"/>
      <c r="K34" s="224" t="s">
        <v>110</v>
      </c>
      <c r="L34" s="225"/>
      <c r="M34" s="226"/>
      <c r="N34" s="74">
        <f>SUM(N21:N33)+R46</f>
        <v>0</v>
      </c>
      <c r="O34" s="72">
        <f>SUM(O21:O33)+T46</f>
        <v>0</v>
      </c>
      <c r="P34" s="227" t="s">
        <v>111</v>
      </c>
      <c r="Q34" s="228"/>
      <c r="R34" s="228"/>
      <c r="S34" s="229"/>
      <c r="T34" s="12"/>
      <c r="U34" s="12"/>
      <c r="V34" s="23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</row>
    <row r="35" spans="1:88" ht="9.75" customHeight="1">
      <c r="A35" s="12"/>
      <c r="B35" s="5"/>
      <c r="C35" s="10"/>
      <c r="D35" s="10"/>
      <c r="E35" s="10"/>
      <c r="F35" s="10"/>
      <c r="G35" s="10"/>
      <c r="H35" s="10"/>
      <c r="I35" s="10"/>
      <c r="J35" s="10"/>
      <c r="K35" s="69"/>
      <c r="L35" s="70"/>
      <c r="M35" s="70"/>
      <c r="N35" s="71"/>
      <c r="O35" s="71"/>
      <c r="P35" s="73"/>
      <c r="Q35" s="73"/>
      <c r="R35" s="12"/>
      <c r="S35" s="12"/>
      <c r="T35" s="12"/>
      <c r="U35" s="12"/>
      <c r="V35" s="23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</row>
    <row r="36" spans="1:88" ht="9" customHeight="1">
      <c r="A36" s="12"/>
      <c r="B36" s="10"/>
      <c r="C36" s="12"/>
      <c r="D36" s="21" t="s">
        <v>35</v>
      </c>
      <c r="E36" s="181"/>
      <c r="F36" s="181"/>
      <c r="G36" s="181"/>
      <c r="H36" s="181"/>
      <c r="I36" s="36"/>
      <c r="J36" s="20"/>
      <c r="K36" s="21" t="s">
        <v>36</v>
      </c>
      <c r="L36" s="222"/>
      <c r="M36" s="223"/>
      <c r="N36" s="223"/>
      <c r="O36" s="223"/>
      <c r="P36" s="223"/>
      <c r="Q36" s="223"/>
      <c r="R36" s="36"/>
      <c r="S36" s="36"/>
      <c r="T36" s="12"/>
      <c r="U36" s="12"/>
      <c r="V36" s="12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</row>
    <row r="37" spans="1:88" ht="6.75" customHeight="1">
      <c r="A37" s="12"/>
      <c r="B37" s="20"/>
      <c r="C37" s="20"/>
      <c r="D37" s="20"/>
      <c r="E37" s="20"/>
      <c r="F37" s="20"/>
      <c r="G37" s="20"/>
      <c r="H37" s="20"/>
      <c r="I37" s="20"/>
      <c r="J37" s="20"/>
      <c r="K37" s="21"/>
      <c r="L37" s="21"/>
      <c r="M37" s="21"/>
      <c r="N37" s="21"/>
      <c r="O37" s="21"/>
      <c r="P37" s="20"/>
      <c r="Q37" s="20"/>
      <c r="R37" s="36"/>
      <c r="S37" s="36"/>
      <c r="T37" s="12"/>
      <c r="U37" s="12"/>
      <c r="V37" s="20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</row>
    <row r="38" spans="1:88" ht="9.75" customHeight="1">
      <c r="A38" s="12"/>
      <c r="B38" s="20"/>
      <c r="C38" s="12"/>
      <c r="D38" s="21" t="s">
        <v>37</v>
      </c>
      <c r="E38" s="181"/>
      <c r="F38" s="181"/>
      <c r="G38" s="181"/>
      <c r="H38" s="181"/>
      <c r="I38" s="36"/>
      <c r="J38" s="20"/>
      <c r="K38" s="21" t="s">
        <v>38</v>
      </c>
      <c r="L38" s="222"/>
      <c r="M38" s="223"/>
      <c r="N38" s="223"/>
      <c r="O38" s="223"/>
      <c r="P38" s="223"/>
      <c r="Q38" s="223"/>
      <c r="R38" s="36"/>
      <c r="S38" s="36"/>
      <c r="T38" s="12"/>
      <c r="U38" s="12"/>
      <c r="V38" s="12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</row>
    <row r="39" spans="1:88" ht="3.75" customHeight="1">
      <c r="A39" s="12"/>
      <c r="B39" s="20"/>
      <c r="C39" s="12"/>
      <c r="D39" s="21"/>
      <c r="E39" s="36"/>
      <c r="F39" s="36"/>
      <c r="G39" s="36"/>
      <c r="H39" s="36"/>
      <c r="I39" s="36"/>
      <c r="J39" s="20"/>
      <c r="K39" s="21"/>
      <c r="L39" s="77"/>
      <c r="M39" s="34"/>
      <c r="N39" s="34"/>
      <c r="O39" s="34"/>
      <c r="P39" s="34"/>
      <c r="Q39" s="34"/>
      <c r="R39" s="36"/>
      <c r="S39" s="36"/>
      <c r="T39" s="12"/>
      <c r="U39" s="12"/>
      <c r="V39" s="12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</row>
    <row r="40" spans="1:88" ht="12.75">
      <c r="A40" s="12"/>
      <c r="B40" s="22" t="s">
        <v>144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178" t="s">
        <v>207</v>
      </c>
      <c r="Q40" s="178"/>
      <c r="R40" s="178"/>
      <c r="S40" s="178"/>
      <c r="T40" s="179"/>
      <c r="U40" s="179"/>
      <c r="V40" s="179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</row>
    <row r="41" spans="1:88" ht="12.75">
      <c r="A41" s="12"/>
      <c r="B41" s="12" t="s">
        <v>182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184" t="s">
        <v>23</v>
      </c>
      <c r="Q41" s="186"/>
      <c r="R41" s="184" t="s">
        <v>201</v>
      </c>
      <c r="S41" s="186"/>
      <c r="T41" s="184" t="s">
        <v>202</v>
      </c>
      <c r="U41" s="185"/>
      <c r="V41" s="186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</row>
    <row r="42" spans="1:88" ht="12.75">
      <c r="A42" s="12"/>
      <c r="B42" s="12" t="s">
        <v>112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187"/>
      <c r="Q42" s="188"/>
      <c r="R42" s="175"/>
      <c r="S42" s="176"/>
      <c r="T42" s="180"/>
      <c r="U42" s="181"/>
      <c r="V42" s="18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</row>
    <row r="43" spans="1:88" ht="12.75" customHeight="1">
      <c r="A43" s="12"/>
      <c r="B43" s="12" t="s">
        <v>113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177"/>
      <c r="Q43" s="177"/>
      <c r="R43" s="175"/>
      <c r="S43" s="176"/>
      <c r="T43" s="175"/>
      <c r="U43" s="183"/>
      <c r="V43" s="176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</row>
    <row r="44" spans="1:88" ht="12.75" customHeight="1">
      <c r="A44" s="12"/>
      <c r="B44" s="22" t="s">
        <v>114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177"/>
      <c r="Q44" s="177"/>
      <c r="R44" s="175"/>
      <c r="S44" s="176"/>
      <c r="T44" s="175"/>
      <c r="U44" s="183"/>
      <c r="V44" s="176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</row>
    <row r="45" spans="1:88" ht="12.75" customHeight="1">
      <c r="A45" s="12"/>
      <c r="B45" s="22" t="s">
        <v>115</v>
      </c>
      <c r="C45" s="23"/>
      <c r="D45" s="23"/>
      <c r="E45" s="23"/>
      <c r="F45" s="23"/>
      <c r="G45" s="23"/>
      <c r="H45" s="23"/>
      <c r="I45" s="23"/>
      <c r="J45" s="23"/>
      <c r="K45" s="23"/>
      <c r="L45"/>
      <c r="M45"/>
      <c r="N45"/>
      <c r="O45"/>
      <c r="P45" s="177"/>
      <c r="Q45" s="177"/>
      <c r="R45" s="175"/>
      <c r="S45" s="176"/>
      <c r="T45" s="175"/>
      <c r="U45" s="183"/>
      <c r="V45" s="176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</row>
    <row r="46" spans="1:88" ht="12.75">
      <c r="A46" s="12"/>
      <c r="B46" s="12" t="s">
        <v>116</v>
      </c>
      <c r="C46" s="23"/>
      <c r="D46" s="23"/>
      <c r="E46" s="23"/>
      <c r="F46" s="23"/>
      <c r="G46" s="23"/>
      <c r="H46" s="23"/>
      <c r="I46" s="23"/>
      <c r="J46" s="23"/>
      <c r="K46" s="23"/>
      <c r="L46"/>
      <c r="M46"/>
      <c r="N46"/>
      <c r="O46"/>
      <c r="P46" s="174" t="s">
        <v>25</v>
      </c>
      <c r="Q46" s="174"/>
      <c r="R46" s="174">
        <f>SUM(R42:R45)</f>
        <v>0</v>
      </c>
      <c r="S46" s="174"/>
      <c r="T46" s="174">
        <f>SUM(T42:T45)</f>
        <v>0</v>
      </c>
      <c r="U46" s="174"/>
      <c r="V46" s="174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</row>
    <row r="47" spans="1:88" ht="12.75">
      <c r="A47" s="42"/>
      <c r="B47" s="42" t="s">
        <v>208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244" t="s">
        <v>211</v>
      </c>
      <c r="P47" s="244"/>
      <c r="Q47" s="244"/>
      <c r="R47" s="244"/>
      <c r="S47" s="244"/>
      <c r="T47" s="244"/>
      <c r="U47" s="244"/>
      <c r="V47" s="244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</row>
    <row r="48" spans="2:88" ht="12.75">
      <c r="B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</row>
    <row r="49" spans="2:88" ht="12.75">
      <c r="B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</row>
    <row r="50" spans="2:88" ht="12.75">
      <c r="B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</row>
    <row r="51" spans="2:88" ht="12.75">
      <c r="B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</row>
    <row r="52" spans="2:88" ht="12.75">
      <c r="B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</row>
    <row r="53" spans="2:88" ht="12.75">
      <c r="B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</row>
    <row r="54" spans="2:88" ht="12.75">
      <c r="B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</row>
    <row r="55" spans="2:88" ht="12.75">
      <c r="B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</row>
    <row r="56" spans="2:88" ht="12.75">
      <c r="B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</row>
    <row r="57" spans="2:88" ht="12.75">
      <c r="B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</row>
    <row r="58" spans="2:88" ht="12.75">
      <c r="B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</row>
    <row r="59" spans="2:30" ht="12.75">
      <c r="B59"/>
      <c r="AD59" s="42"/>
    </row>
    <row r="60" spans="2:30" ht="12.75">
      <c r="B60"/>
      <c r="AD60" s="42"/>
    </row>
    <row r="61" spans="2:25" ht="12.7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2:25" ht="12.7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2:25" ht="12.7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2:25" ht="12.7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2:25" ht="12.7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2:25" ht="12.7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2:25" ht="12.7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2:25" ht="12.7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2:25" ht="12.7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2:25" ht="12.7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2:25" ht="12.7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2:25" ht="12.7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2:25" ht="12.7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2:25" ht="12.7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2:25" ht="12.7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2:25" ht="12.7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2:25" ht="12.7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2:25" ht="12.7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2:25" ht="12.7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2:25" ht="12.7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2:25" ht="12.7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2:25" ht="12.7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2:25" ht="12.7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2:25" ht="12.7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2:25" ht="12.7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2:25" ht="12.7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2:25" ht="12.7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2:25" ht="12.7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2:25" ht="12.7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2:25" ht="12.7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2:25" ht="12.7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2:25" ht="12.7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2:25" ht="12.7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2:25" ht="12.7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2:25" ht="12.7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2:25" ht="12.7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2:25" ht="12.7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2:25" ht="12.75" hidden="1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2:25" ht="12.75" hidden="1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2:38" ht="12.75" hidden="1">
      <c r="B100"/>
      <c r="C100" s="76">
        <f aca="true" t="shared" si="7" ref="C100:C112">IF(AND($S$9="Swine",$H21="br",$I21="slurry"),0.7,D100)</f>
        <v>0</v>
      </c>
      <c r="D100" s="76">
        <f aca="true" t="shared" si="8" ref="D100:D112">IF(AND($S$9="Swine",$H21="si",$I21="slurry"),0.8,E100)</f>
        <v>0</v>
      </c>
      <c r="E100" s="76">
        <f aca="true" t="shared" si="9" ref="E100:E112">IF(AND($S$9="Swine",$H21="in",$I21="slurry"),0.8,F100)</f>
        <v>0</v>
      </c>
      <c r="F100" s="76">
        <f aca="true" t="shared" si="10" ref="F100:F112">IF(AND($S$9="Swine",$H21="in",$I21="sludge"),0.8,G100)</f>
        <v>0</v>
      </c>
      <c r="G100" s="76">
        <f aca="true" t="shared" si="11" ref="G100:G112">IF(AND($S$9="Swine",$H21="si",$I21="sludge"),0.8,H100)</f>
        <v>0</v>
      </c>
      <c r="H100" s="76">
        <f aca="true" t="shared" si="12" ref="H100:H112">IF(AND($S$9="Swine",$H21="br",$I21="sludge"),0.7,I100)</f>
        <v>0</v>
      </c>
      <c r="I100" s="76">
        <f aca="true" t="shared" si="13" ref="I100:I112">IF(AND($S$9="Swine",H21="br",$I21="msssp"),0.6,J100)</f>
        <v>0</v>
      </c>
      <c r="J100" s="76">
        <f aca="true" t="shared" si="14" ref="J100:J112">IF(AND($S$9="Swine",$H21="si",$I21="msssp"),0.75,K100)</f>
        <v>0</v>
      </c>
      <c r="K100" s="76">
        <f aca="true" t="shared" si="15" ref="K100:K112">IF(AND($S$9="Swine",$H21="in",$I21="msssp"),"ERROR",L100)</f>
        <v>0</v>
      </c>
      <c r="L100" s="76">
        <f aca="true" t="shared" si="16" ref="L100:L112">IF(AND($S$9="Poultry",$H21="br",$I21="slurry"),0.7,M100)</f>
        <v>0</v>
      </c>
      <c r="M100" s="76">
        <f aca="true" t="shared" si="17" ref="M100:M112">IF(AND($S$9="Poultry",$H21="si",$I21="slurry"),0.8,N100)</f>
        <v>0</v>
      </c>
      <c r="N100" s="76">
        <f aca="true" t="shared" si="18" ref="N100:N112">IF(AND($S$9="Poultry",$H21="in",$I21="slurry"),0.8,O100)</f>
        <v>0</v>
      </c>
      <c r="O100" s="76">
        <f aca="true" t="shared" si="19" ref="O100:O112">IF(AND($S$9="Poultry",$H21="br",$I21="sludge"),0.7,P100)</f>
        <v>0</v>
      </c>
      <c r="P100" s="76">
        <f aca="true" t="shared" si="20" ref="P100:P112">IF(AND($S$9="Poultry",$H21="si",$I21="sludge"),0.8,Q100)</f>
        <v>0</v>
      </c>
      <c r="Q100" s="76">
        <f aca="true" t="shared" si="21" ref="Q100:Q112">IF(AND($S$9="Poultry",$H21="in",$I21="sludge"),0.8,R100)</f>
        <v>0</v>
      </c>
      <c r="R100" s="76">
        <f aca="true" t="shared" si="22" ref="R100:R112">IF(AND($S$9="Poultry",$H21="br",$I21="msssp"),"ERROR",S100)</f>
        <v>0</v>
      </c>
      <c r="S100" s="76">
        <f aca="true" t="shared" si="23" ref="S100:S112">IF(AND($S$9="Poultry",$H21="si",$I21="msssp"),"ERROR",T100)</f>
        <v>0</v>
      </c>
      <c r="T100" s="76">
        <f aca="true" t="shared" si="24" ref="T100:T112">IF(AND($S$9="Poultry",$H21="in",$I21="msssp"),"ERROR",U100)</f>
        <v>0</v>
      </c>
      <c r="U100" s="76">
        <f aca="true" t="shared" si="25" ref="U100:U112">IF(AND($S$9="Dairy",$H21="br",$I21="slurry"),0.7,V100)</f>
        <v>0</v>
      </c>
      <c r="V100" s="76">
        <f aca="true" t="shared" si="26" ref="V100:V112">IF(AND($S$9="Dairy",$H21="si",$I21="slurry"),0.8,W100)</f>
        <v>0</v>
      </c>
      <c r="W100" s="76">
        <f aca="true" t="shared" si="27" ref="W100:W112">IF(AND($S$9="Dairy",$H21="in",$I21="slurry"),0.8,X100)</f>
        <v>0</v>
      </c>
      <c r="X100" s="76">
        <f aca="true" t="shared" si="28" ref="X100:X112">IF(AND($S$9="Dairy",$H21="br",$I21="sludge"),"ERROR",Y100)</f>
        <v>0</v>
      </c>
      <c r="Y100" s="76">
        <f aca="true" t="shared" si="29" ref="Y100:Y112">IF(AND($S$9="Dairy",$H21="si",$I21="sludge"),"ERROR",Z100)</f>
        <v>0</v>
      </c>
      <c r="Z100" s="76">
        <f aca="true" t="shared" si="30" ref="Z100:Z112">IF(AND($S$9="Dairy",$H21="in",$I21="sludge"),"ERROR",AA100)</f>
        <v>0</v>
      </c>
      <c r="AA100" s="76">
        <f aca="true" t="shared" si="31" ref="AA100:AA112">IF(AND($S$9="Dairy",$H21="br",$I21="msssp"),0.6,AB100)</f>
        <v>0</v>
      </c>
      <c r="AB100" s="76">
        <f aca="true" t="shared" si="32" ref="AB100:AB112">IF(AND($S$9="Dairy",$H21="si",$I21="msssp"),0.75,AC100)</f>
        <v>0</v>
      </c>
      <c r="AC100" s="76">
        <f aca="true" t="shared" si="33" ref="AC100:AC112">IF(AND($S$9="Dairy",$H21="in",$I21="msssp"),"ERROR",AD100)</f>
        <v>0</v>
      </c>
      <c r="AD100" s="76">
        <f aca="true" t="shared" si="34" ref="AD100:AD112">IF(AND($S$9="beef",$H21="in",$I21="msssp"),"ERROR",AE100)</f>
        <v>0</v>
      </c>
      <c r="AE100" s="76">
        <f aca="true" t="shared" si="35" ref="AE100:AE112">IF(AND($S$9="beef",$H21="si",$I21="msssp"),0.75,AF100)</f>
        <v>0</v>
      </c>
      <c r="AF100" s="76">
        <f aca="true" t="shared" si="36" ref="AF100:AF112">IF(AND($S$9="beef",$H21="br",$I21="msssp"),0.6,AG100)</f>
        <v>0</v>
      </c>
      <c r="AG100" s="76">
        <f aca="true" t="shared" si="37" ref="AG100:AG112">IF(AND($S$9="beef",$H21="br",$I21="slurry"),0.7,AH100)</f>
        <v>0</v>
      </c>
      <c r="AH100" s="76">
        <f aca="true" t="shared" si="38" ref="AH100:AH112">IF(AND($S$9="beef",$H21="si",$I21="slurry"),0.8,AI100)</f>
        <v>0</v>
      </c>
      <c r="AI100" s="76">
        <f aca="true" t="shared" si="39" ref="AI100:AI112">IF(AND($S$9="beef",$H21="in",$I21="slurry"),0.8,AJ100)</f>
        <v>0</v>
      </c>
      <c r="AJ100" s="76">
        <f aca="true" t="shared" si="40" ref="AJ100:AJ112">IF(AND($S$9="beef",$H21="in",$I21="sludge"),0.8,AK100)</f>
        <v>0</v>
      </c>
      <c r="AK100" s="76">
        <f aca="true" t="shared" si="41" ref="AK100:AK112">IF(AND($S$9="beef",$H21="si",$I21="sludge"),0.8,AL100)</f>
        <v>0</v>
      </c>
      <c r="AL100" s="76">
        <f aca="true" t="shared" si="42" ref="AL100:AL112">IF(AND($S$9="beef",$H21="br",$I21="sludge"),0.7,AM100)</f>
        <v>0</v>
      </c>
    </row>
    <row r="101" spans="2:38" ht="12.75" hidden="1">
      <c r="B101"/>
      <c r="C101" s="76">
        <f t="shared" si="7"/>
        <v>0</v>
      </c>
      <c r="D101" s="76">
        <f t="shared" si="8"/>
        <v>0</v>
      </c>
      <c r="E101" s="76">
        <f t="shared" si="9"/>
        <v>0</v>
      </c>
      <c r="F101" s="76">
        <f t="shared" si="10"/>
        <v>0</v>
      </c>
      <c r="G101" s="76">
        <f t="shared" si="11"/>
        <v>0</v>
      </c>
      <c r="H101" s="76">
        <f t="shared" si="12"/>
        <v>0</v>
      </c>
      <c r="I101" s="76">
        <f t="shared" si="13"/>
        <v>0</v>
      </c>
      <c r="J101" s="76">
        <f t="shared" si="14"/>
        <v>0</v>
      </c>
      <c r="K101" s="76">
        <f t="shared" si="15"/>
        <v>0</v>
      </c>
      <c r="L101" s="76">
        <f t="shared" si="16"/>
        <v>0</v>
      </c>
      <c r="M101" s="76">
        <f t="shared" si="17"/>
        <v>0</v>
      </c>
      <c r="N101" s="76">
        <f t="shared" si="18"/>
        <v>0</v>
      </c>
      <c r="O101" s="76">
        <f t="shared" si="19"/>
        <v>0</v>
      </c>
      <c r="P101" s="76">
        <f t="shared" si="20"/>
        <v>0</v>
      </c>
      <c r="Q101" s="76">
        <f t="shared" si="21"/>
        <v>0</v>
      </c>
      <c r="R101" s="76">
        <f t="shared" si="22"/>
        <v>0</v>
      </c>
      <c r="S101" s="76">
        <f t="shared" si="23"/>
        <v>0</v>
      </c>
      <c r="T101" s="76">
        <f t="shared" si="24"/>
        <v>0</v>
      </c>
      <c r="U101" s="76">
        <f t="shared" si="25"/>
        <v>0</v>
      </c>
      <c r="V101" s="76">
        <f t="shared" si="26"/>
        <v>0</v>
      </c>
      <c r="W101" s="76">
        <f t="shared" si="27"/>
        <v>0</v>
      </c>
      <c r="X101" s="76">
        <f t="shared" si="28"/>
        <v>0</v>
      </c>
      <c r="Y101" s="76">
        <f t="shared" si="29"/>
        <v>0</v>
      </c>
      <c r="Z101" s="76">
        <f t="shared" si="30"/>
        <v>0</v>
      </c>
      <c r="AA101" s="76">
        <f t="shared" si="31"/>
        <v>0</v>
      </c>
      <c r="AB101" s="76">
        <f t="shared" si="32"/>
        <v>0</v>
      </c>
      <c r="AC101" s="76">
        <f t="shared" si="33"/>
        <v>0</v>
      </c>
      <c r="AD101" s="76">
        <f t="shared" si="34"/>
        <v>0</v>
      </c>
      <c r="AE101" s="76">
        <f t="shared" si="35"/>
        <v>0</v>
      </c>
      <c r="AF101" s="76">
        <f t="shared" si="36"/>
        <v>0</v>
      </c>
      <c r="AG101" s="76">
        <f t="shared" si="37"/>
        <v>0</v>
      </c>
      <c r="AH101" s="76">
        <f t="shared" si="38"/>
        <v>0</v>
      </c>
      <c r="AI101" s="76">
        <f t="shared" si="39"/>
        <v>0</v>
      </c>
      <c r="AJ101" s="76">
        <f t="shared" si="40"/>
        <v>0</v>
      </c>
      <c r="AK101" s="76">
        <f t="shared" si="41"/>
        <v>0</v>
      </c>
      <c r="AL101" s="76">
        <f t="shared" si="42"/>
        <v>0</v>
      </c>
    </row>
    <row r="102" spans="2:38" ht="12.75" hidden="1">
      <c r="B102"/>
      <c r="C102" s="76">
        <f t="shared" si="7"/>
        <v>0</v>
      </c>
      <c r="D102" s="76">
        <f t="shared" si="8"/>
        <v>0</v>
      </c>
      <c r="E102" s="76">
        <f t="shared" si="9"/>
        <v>0</v>
      </c>
      <c r="F102" s="76">
        <f t="shared" si="10"/>
        <v>0</v>
      </c>
      <c r="G102" s="76">
        <f t="shared" si="11"/>
        <v>0</v>
      </c>
      <c r="H102" s="76">
        <f t="shared" si="12"/>
        <v>0</v>
      </c>
      <c r="I102" s="76">
        <f t="shared" si="13"/>
        <v>0</v>
      </c>
      <c r="J102" s="76">
        <f t="shared" si="14"/>
        <v>0</v>
      </c>
      <c r="K102" s="76">
        <f t="shared" si="15"/>
        <v>0</v>
      </c>
      <c r="L102" s="76">
        <f t="shared" si="16"/>
        <v>0</v>
      </c>
      <c r="M102" s="76">
        <f t="shared" si="17"/>
        <v>0</v>
      </c>
      <c r="N102" s="76">
        <f t="shared" si="18"/>
        <v>0</v>
      </c>
      <c r="O102" s="76">
        <f t="shared" si="19"/>
        <v>0</v>
      </c>
      <c r="P102" s="76">
        <f t="shared" si="20"/>
        <v>0</v>
      </c>
      <c r="Q102" s="76">
        <f t="shared" si="21"/>
        <v>0</v>
      </c>
      <c r="R102" s="76">
        <f t="shared" si="22"/>
        <v>0</v>
      </c>
      <c r="S102" s="76">
        <f t="shared" si="23"/>
        <v>0</v>
      </c>
      <c r="T102" s="76">
        <f t="shared" si="24"/>
        <v>0</v>
      </c>
      <c r="U102" s="76">
        <f t="shared" si="25"/>
        <v>0</v>
      </c>
      <c r="V102" s="76">
        <f t="shared" si="26"/>
        <v>0</v>
      </c>
      <c r="W102" s="76">
        <f t="shared" si="27"/>
        <v>0</v>
      </c>
      <c r="X102" s="76">
        <f t="shared" si="28"/>
        <v>0</v>
      </c>
      <c r="Y102" s="76">
        <f t="shared" si="29"/>
        <v>0</v>
      </c>
      <c r="Z102" s="76">
        <f t="shared" si="30"/>
        <v>0</v>
      </c>
      <c r="AA102" s="76">
        <f t="shared" si="31"/>
        <v>0</v>
      </c>
      <c r="AB102" s="76">
        <f t="shared" si="32"/>
        <v>0</v>
      </c>
      <c r="AC102" s="76">
        <f t="shared" si="33"/>
        <v>0</v>
      </c>
      <c r="AD102" s="76">
        <f t="shared" si="34"/>
        <v>0</v>
      </c>
      <c r="AE102" s="76">
        <f t="shared" si="35"/>
        <v>0</v>
      </c>
      <c r="AF102" s="76">
        <f t="shared" si="36"/>
        <v>0</v>
      </c>
      <c r="AG102" s="76">
        <f t="shared" si="37"/>
        <v>0</v>
      </c>
      <c r="AH102" s="76">
        <f t="shared" si="38"/>
        <v>0</v>
      </c>
      <c r="AI102" s="76">
        <f t="shared" si="39"/>
        <v>0</v>
      </c>
      <c r="AJ102" s="76">
        <f t="shared" si="40"/>
        <v>0</v>
      </c>
      <c r="AK102" s="76">
        <f t="shared" si="41"/>
        <v>0</v>
      </c>
      <c r="AL102" s="76">
        <f t="shared" si="42"/>
        <v>0</v>
      </c>
    </row>
    <row r="103" spans="2:38" ht="12.75" hidden="1">
      <c r="B103"/>
      <c r="C103" s="76">
        <f t="shared" si="7"/>
        <v>0</v>
      </c>
      <c r="D103" s="76">
        <f t="shared" si="8"/>
        <v>0</v>
      </c>
      <c r="E103" s="76">
        <f t="shared" si="9"/>
        <v>0</v>
      </c>
      <c r="F103" s="76">
        <f t="shared" si="10"/>
        <v>0</v>
      </c>
      <c r="G103" s="76">
        <f t="shared" si="11"/>
        <v>0</v>
      </c>
      <c r="H103" s="76">
        <f t="shared" si="12"/>
        <v>0</v>
      </c>
      <c r="I103" s="76">
        <f t="shared" si="13"/>
        <v>0</v>
      </c>
      <c r="J103" s="76">
        <f t="shared" si="14"/>
        <v>0</v>
      </c>
      <c r="K103" s="76">
        <f t="shared" si="15"/>
        <v>0</v>
      </c>
      <c r="L103" s="76">
        <f t="shared" si="16"/>
        <v>0</v>
      </c>
      <c r="M103" s="76">
        <f t="shared" si="17"/>
        <v>0</v>
      </c>
      <c r="N103" s="76">
        <f t="shared" si="18"/>
        <v>0</v>
      </c>
      <c r="O103" s="76">
        <f t="shared" si="19"/>
        <v>0</v>
      </c>
      <c r="P103" s="76">
        <f t="shared" si="20"/>
        <v>0</v>
      </c>
      <c r="Q103" s="76">
        <f t="shared" si="21"/>
        <v>0</v>
      </c>
      <c r="R103" s="76">
        <f t="shared" si="22"/>
        <v>0</v>
      </c>
      <c r="S103" s="76">
        <f t="shared" si="23"/>
        <v>0</v>
      </c>
      <c r="T103" s="76">
        <f t="shared" si="24"/>
        <v>0</v>
      </c>
      <c r="U103" s="76">
        <f t="shared" si="25"/>
        <v>0</v>
      </c>
      <c r="V103" s="76">
        <f t="shared" si="26"/>
        <v>0</v>
      </c>
      <c r="W103" s="76">
        <f t="shared" si="27"/>
        <v>0</v>
      </c>
      <c r="X103" s="76">
        <f t="shared" si="28"/>
        <v>0</v>
      </c>
      <c r="Y103" s="76">
        <f t="shared" si="29"/>
        <v>0</v>
      </c>
      <c r="Z103" s="76">
        <f t="shared" si="30"/>
        <v>0</v>
      </c>
      <c r="AA103" s="76">
        <f t="shared" si="31"/>
        <v>0</v>
      </c>
      <c r="AB103" s="76">
        <f t="shared" si="32"/>
        <v>0</v>
      </c>
      <c r="AC103" s="76">
        <f t="shared" si="33"/>
        <v>0</v>
      </c>
      <c r="AD103" s="76">
        <f t="shared" si="34"/>
        <v>0</v>
      </c>
      <c r="AE103" s="76">
        <f t="shared" si="35"/>
        <v>0</v>
      </c>
      <c r="AF103" s="76">
        <f t="shared" si="36"/>
        <v>0</v>
      </c>
      <c r="AG103" s="76">
        <f t="shared" si="37"/>
        <v>0</v>
      </c>
      <c r="AH103" s="76">
        <f t="shared" si="38"/>
        <v>0</v>
      </c>
      <c r="AI103" s="76">
        <f t="shared" si="39"/>
        <v>0</v>
      </c>
      <c r="AJ103" s="76">
        <f t="shared" si="40"/>
        <v>0</v>
      </c>
      <c r="AK103" s="76">
        <f t="shared" si="41"/>
        <v>0</v>
      </c>
      <c r="AL103" s="76">
        <f t="shared" si="42"/>
        <v>0</v>
      </c>
    </row>
    <row r="104" spans="2:38" ht="12.75" hidden="1">
      <c r="B104"/>
      <c r="C104" s="76">
        <f t="shared" si="7"/>
        <v>0</v>
      </c>
      <c r="D104" s="76">
        <f t="shared" si="8"/>
        <v>0</v>
      </c>
      <c r="E104" s="76">
        <f t="shared" si="9"/>
        <v>0</v>
      </c>
      <c r="F104" s="76">
        <f t="shared" si="10"/>
        <v>0</v>
      </c>
      <c r="G104" s="76">
        <f t="shared" si="11"/>
        <v>0</v>
      </c>
      <c r="H104" s="76">
        <f t="shared" si="12"/>
        <v>0</v>
      </c>
      <c r="I104" s="76">
        <f t="shared" si="13"/>
        <v>0</v>
      </c>
      <c r="J104" s="76">
        <f t="shared" si="14"/>
        <v>0</v>
      </c>
      <c r="K104" s="76">
        <f t="shared" si="15"/>
        <v>0</v>
      </c>
      <c r="L104" s="76">
        <f t="shared" si="16"/>
        <v>0</v>
      </c>
      <c r="M104" s="76">
        <f t="shared" si="17"/>
        <v>0</v>
      </c>
      <c r="N104" s="76">
        <f t="shared" si="18"/>
        <v>0</v>
      </c>
      <c r="O104" s="76">
        <f t="shared" si="19"/>
        <v>0</v>
      </c>
      <c r="P104" s="76">
        <f t="shared" si="20"/>
        <v>0</v>
      </c>
      <c r="Q104" s="76">
        <f t="shared" si="21"/>
        <v>0</v>
      </c>
      <c r="R104" s="76">
        <f t="shared" si="22"/>
        <v>0</v>
      </c>
      <c r="S104" s="76">
        <f t="shared" si="23"/>
        <v>0</v>
      </c>
      <c r="T104" s="76">
        <f t="shared" si="24"/>
        <v>0</v>
      </c>
      <c r="U104" s="76">
        <f t="shared" si="25"/>
        <v>0</v>
      </c>
      <c r="V104" s="76">
        <f t="shared" si="26"/>
        <v>0</v>
      </c>
      <c r="W104" s="76">
        <f t="shared" si="27"/>
        <v>0</v>
      </c>
      <c r="X104" s="76">
        <f t="shared" si="28"/>
        <v>0</v>
      </c>
      <c r="Y104" s="76">
        <f t="shared" si="29"/>
        <v>0</v>
      </c>
      <c r="Z104" s="76">
        <f t="shared" si="30"/>
        <v>0</v>
      </c>
      <c r="AA104" s="76">
        <f t="shared" si="31"/>
        <v>0</v>
      </c>
      <c r="AB104" s="76">
        <f t="shared" si="32"/>
        <v>0</v>
      </c>
      <c r="AC104" s="76">
        <f t="shared" si="33"/>
        <v>0</v>
      </c>
      <c r="AD104" s="76">
        <f t="shared" si="34"/>
        <v>0</v>
      </c>
      <c r="AE104" s="76">
        <f t="shared" si="35"/>
        <v>0</v>
      </c>
      <c r="AF104" s="76">
        <f t="shared" si="36"/>
        <v>0</v>
      </c>
      <c r="AG104" s="76">
        <f t="shared" si="37"/>
        <v>0</v>
      </c>
      <c r="AH104" s="76">
        <f t="shared" si="38"/>
        <v>0</v>
      </c>
      <c r="AI104" s="76">
        <f t="shared" si="39"/>
        <v>0</v>
      </c>
      <c r="AJ104" s="76">
        <f t="shared" si="40"/>
        <v>0</v>
      </c>
      <c r="AK104" s="76">
        <f t="shared" si="41"/>
        <v>0</v>
      </c>
      <c r="AL104" s="76">
        <f t="shared" si="42"/>
        <v>0</v>
      </c>
    </row>
    <row r="105" spans="2:38" ht="12.75" hidden="1">
      <c r="B105"/>
      <c r="C105" s="76">
        <f t="shared" si="7"/>
        <v>0</v>
      </c>
      <c r="D105" s="76">
        <f t="shared" si="8"/>
        <v>0</v>
      </c>
      <c r="E105" s="76">
        <f t="shared" si="9"/>
        <v>0</v>
      </c>
      <c r="F105" s="76">
        <f t="shared" si="10"/>
        <v>0</v>
      </c>
      <c r="G105" s="76">
        <f t="shared" si="11"/>
        <v>0</v>
      </c>
      <c r="H105" s="76">
        <f t="shared" si="12"/>
        <v>0</v>
      </c>
      <c r="I105" s="76">
        <f t="shared" si="13"/>
        <v>0</v>
      </c>
      <c r="J105" s="76">
        <f t="shared" si="14"/>
        <v>0</v>
      </c>
      <c r="K105" s="76">
        <f t="shared" si="15"/>
        <v>0</v>
      </c>
      <c r="L105" s="76">
        <f t="shared" si="16"/>
        <v>0</v>
      </c>
      <c r="M105" s="76">
        <f t="shared" si="17"/>
        <v>0</v>
      </c>
      <c r="N105" s="76">
        <f t="shared" si="18"/>
        <v>0</v>
      </c>
      <c r="O105" s="76">
        <f t="shared" si="19"/>
        <v>0</v>
      </c>
      <c r="P105" s="76">
        <f t="shared" si="20"/>
        <v>0</v>
      </c>
      <c r="Q105" s="76">
        <f t="shared" si="21"/>
        <v>0</v>
      </c>
      <c r="R105" s="76">
        <f t="shared" si="22"/>
        <v>0</v>
      </c>
      <c r="S105" s="76">
        <f t="shared" si="23"/>
        <v>0</v>
      </c>
      <c r="T105" s="76">
        <f t="shared" si="24"/>
        <v>0</v>
      </c>
      <c r="U105" s="76">
        <f t="shared" si="25"/>
        <v>0</v>
      </c>
      <c r="V105" s="76">
        <f t="shared" si="26"/>
        <v>0</v>
      </c>
      <c r="W105" s="76">
        <f t="shared" si="27"/>
        <v>0</v>
      </c>
      <c r="X105" s="76">
        <f t="shared" si="28"/>
        <v>0</v>
      </c>
      <c r="Y105" s="76">
        <f t="shared" si="29"/>
        <v>0</v>
      </c>
      <c r="Z105" s="76">
        <f t="shared" si="30"/>
        <v>0</v>
      </c>
      <c r="AA105" s="76">
        <f t="shared" si="31"/>
        <v>0</v>
      </c>
      <c r="AB105" s="76">
        <f t="shared" si="32"/>
        <v>0</v>
      </c>
      <c r="AC105" s="76">
        <f t="shared" si="33"/>
        <v>0</v>
      </c>
      <c r="AD105" s="76">
        <f t="shared" si="34"/>
        <v>0</v>
      </c>
      <c r="AE105" s="76">
        <f t="shared" si="35"/>
        <v>0</v>
      </c>
      <c r="AF105" s="76">
        <f t="shared" si="36"/>
        <v>0</v>
      </c>
      <c r="AG105" s="76">
        <f t="shared" si="37"/>
        <v>0</v>
      </c>
      <c r="AH105" s="76">
        <f t="shared" si="38"/>
        <v>0</v>
      </c>
      <c r="AI105" s="76">
        <f t="shared" si="39"/>
        <v>0</v>
      </c>
      <c r="AJ105" s="76">
        <f t="shared" si="40"/>
        <v>0</v>
      </c>
      <c r="AK105" s="76">
        <f t="shared" si="41"/>
        <v>0</v>
      </c>
      <c r="AL105" s="76">
        <f t="shared" si="42"/>
        <v>0</v>
      </c>
    </row>
    <row r="106" spans="2:38" ht="12.75" hidden="1">
      <c r="B106"/>
      <c r="C106" s="76">
        <f t="shared" si="7"/>
        <v>0</v>
      </c>
      <c r="D106" s="76">
        <f t="shared" si="8"/>
        <v>0</v>
      </c>
      <c r="E106" s="76">
        <f t="shared" si="9"/>
        <v>0</v>
      </c>
      <c r="F106" s="76">
        <f t="shared" si="10"/>
        <v>0</v>
      </c>
      <c r="G106" s="76">
        <f t="shared" si="11"/>
        <v>0</v>
      </c>
      <c r="H106" s="76">
        <f t="shared" si="12"/>
        <v>0</v>
      </c>
      <c r="I106" s="76">
        <f t="shared" si="13"/>
        <v>0</v>
      </c>
      <c r="J106" s="76">
        <f t="shared" si="14"/>
        <v>0</v>
      </c>
      <c r="K106" s="76">
        <f t="shared" si="15"/>
        <v>0</v>
      </c>
      <c r="L106" s="76">
        <f t="shared" si="16"/>
        <v>0</v>
      </c>
      <c r="M106" s="76">
        <f t="shared" si="17"/>
        <v>0</v>
      </c>
      <c r="N106" s="76">
        <f t="shared" si="18"/>
        <v>0</v>
      </c>
      <c r="O106" s="76">
        <f t="shared" si="19"/>
        <v>0</v>
      </c>
      <c r="P106" s="76">
        <f t="shared" si="20"/>
        <v>0</v>
      </c>
      <c r="Q106" s="76">
        <f t="shared" si="21"/>
        <v>0</v>
      </c>
      <c r="R106" s="76">
        <f t="shared" si="22"/>
        <v>0</v>
      </c>
      <c r="S106" s="76">
        <f t="shared" si="23"/>
        <v>0</v>
      </c>
      <c r="T106" s="76">
        <f t="shared" si="24"/>
        <v>0</v>
      </c>
      <c r="U106" s="76">
        <f t="shared" si="25"/>
        <v>0</v>
      </c>
      <c r="V106" s="76">
        <f t="shared" si="26"/>
        <v>0</v>
      </c>
      <c r="W106" s="76">
        <f t="shared" si="27"/>
        <v>0</v>
      </c>
      <c r="X106" s="76">
        <f t="shared" si="28"/>
        <v>0</v>
      </c>
      <c r="Y106" s="76">
        <f t="shared" si="29"/>
        <v>0</v>
      </c>
      <c r="Z106" s="76">
        <f t="shared" si="30"/>
        <v>0</v>
      </c>
      <c r="AA106" s="76">
        <f t="shared" si="31"/>
        <v>0</v>
      </c>
      <c r="AB106" s="76">
        <f t="shared" si="32"/>
        <v>0</v>
      </c>
      <c r="AC106" s="76">
        <f t="shared" si="33"/>
        <v>0</v>
      </c>
      <c r="AD106" s="76">
        <f t="shared" si="34"/>
        <v>0</v>
      </c>
      <c r="AE106" s="76">
        <f t="shared" si="35"/>
        <v>0</v>
      </c>
      <c r="AF106" s="76">
        <f t="shared" si="36"/>
        <v>0</v>
      </c>
      <c r="AG106" s="76">
        <f t="shared" si="37"/>
        <v>0</v>
      </c>
      <c r="AH106" s="76">
        <f t="shared" si="38"/>
        <v>0</v>
      </c>
      <c r="AI106" s="76">
        <f t="shared" si="39"/>
        <v>0</v>
      </c>
      <c r="AJ106" s="76">
        <f t="shared" si="40"/>
        <v>0</v>
      </c>
      <c r="AK106" s="76">
        <f t="shared" si="41"/>
        <v>0</v>
      </c>
      <c r="AL106" s="76">
        <f t="shared" si="42"/>
        <v>0</v>
      </c>
    </row>
    <row r="107" spans="2:38" ht="12.75" hidden="1">
      <c r="B107"/>
      <c r="C107" s="76">
        <f t="shared" si="7"/>
        <v>0</v>
      </c>
      <c r="D107" s="76">
        <f t="shared" si="8"/>
        <v>0</v>
      </c>
      <c r="E107" s="76">
        <f t="shared" si="9"/>
        <v>0</v>
      </c>
      <c r="F107" s="76">
        <f t="shared" si="10"/>
        <v>0</v>
      </c>
      <c r="G107" s="76">
        <f t="shared" si="11"/>
        <v>0</v>
      </c>
      <c r="H107" s="76">
        <f t="shared" si="12"/>
        <v>0</v>
      </c>
      <c r="I107" s="76">
        <f t="shared" si="13"/>
        <v>0</v>
      </c>
      <c r="J107" s="76">
        <f t="shared" si="14"/>
        <v>0</v>
      </c>
      <c r="K107" s="76">
        <f t="shared" si="15"/>
        <v>0</v>
      </c>
      <c r="L107" s="76">
        <f t="shared" si="16"/>
        <v>0</v>
      </c>
      <c r="M107" s="76">
        <f t="shared" si="17"/>
        <v>0</v>
      </c>
      <c r="N107" s="76">
        <f t="shared" si="18"/>
        <v>0</v>
      </c>
      <c r="O107" s="76">
        <f t="shared" si="19"/>
        <v>0</v>
      </c>
      <c r="P107" s="76">
        <f t="shared" si="20"/>
        <v>0</v>
      </c>
      <c r="Q107" s="76">
        <f t="shared" si="21"/>
        <v>0</v>
      </c>
      <c r="R107" s="76">
        <f t="shared" si="22"/>
        <v>0</v>
      </c>
      <c r="S107" s="76">
        <f t="shared" si="23"/>
        <v>0</v>
      </c>
      <c r="T107" s="76">
        <f t="shared" si="24"/>
        <v>0</v>
      </c>
      <c r="U107" s="76">
        <f t="shared" si="25"/>
        <v>0</v>
      </c>
      <c r="V107" s="76">
        <f t="shared" si="26"/>
        <v>0</v>
      </c>
      <c r="W107" s="76">
        <f t="shared" si="27"/>
        <v>0</v>
      </c>
      <c r="X107" s="76">
        <f t="shared" si="28"/>
        <v>0</v>
      </c>
      <c r="Y107" s="76">
        <f t="shared" si="29"/>
        <v>0</v>
      </c>
      <c r="Z107" s="76">
        <f t="shared" si="30"/>
        <v>0</v>
      </c>
      <c r="AA107" s="76">
        <f t="shared" si="31"/>
        <v>0</v>
      </c>
      <c r="AB107" s="76">
        <f t="shared" si="32"/>
        <v>0</v>
      </c>
      <c r="AC107" s="76">
        <f t="shared" si="33"/>
        <v>0</v>
      </c>
      <c r="AD107" s="76">
        <f t="shared" si="34"/>
        <v>0</v>
      </c>
      <c r="AE107" s="76">
        <f t="shared" si="35"/>
        <v>0</v>
      </c>
      <c r="AF107" s="76">
        <f t="shared" si="36"/>
        <v>0</v>
      </c>
      <c r="AG107" s="76">
        <f t="shared" si="37"/>
        <v>0</v>
      </c>
      <c r="AH107" s="76">
        <f t="shared" si="38"/>
        <v>0</v>
      </c>
      <c r="AI107" s="76">
        <f t="shared" si="39"/>
        <v>0</v>
      </c>
      <c r="AJ107" s="76">
        <f t="shared" si="40"/>
        <v>0</v>
      </c>
      <c r="AK107" s="76">
        <f t="shared" si="41"/>
        <v>0</v>
      </c>
      <c r="AL107" s="76">
        <f t="shared" si="42"/>
        <v>0</v>
      </c>
    </row>
    <row r="108" spans="2:38" ht="12.75" hidden="1">
      <c r="B108"/>
      <c r="C108" s="76">
        <f t="shared" si="7"/>
        <v>0</v>
      </c>
      <c r="D108" s="76">
        <f t="shared" si="8"/>
        <v>0</v>
      </c>
      <c r="E108" s="76">
        <f t="shared" si="9"/>
        <v>0</v>
      </c>
      <c r="F108" s="76">
        <f t="shared" si="10"/>
        <v>0</v>
      </c>
      <c r="G108" s="76">
        <f t="shared" si="11"/>
        <v>0</v>
      </c>
      <c r="H108" s="76">
        <f t="shared" si="12"/>
        <v>0</v>
      </c>
      <c r="I108" s="76">
        <f t="shared" si="13"/>
        <v>0</v>
      </c>
      <c r="J108" s="76">
        <f t="shared" si="14"/>
        <v>0</v>
      </c>
      <c r="K108" s="76">
        <f t="shared" si="15"/>
        <v>0</v>
      </c>
      <c r="L108" s="76">
        <f t="shared" si="16"/>
        <v>0</v>
      </c>
      <c r="M108" s="76">
        <f t="shared" si="17"/>
        <v>0</v>
      </c>
      <c r="N108" s="76">
        <f t="shared" si="18"/>
        <v>0</v>
      </c>
      <c r="O108" s="76">
        <f t="shared" si="19"/>
        <v>0</v>
      </c>
      <c r="P108" s="76">
        <f t="shared" si="20"/>
        <v>0</v>
      </c>
      <c r="Q108" s="76">
        <f t="shared" si="21"/>
        <v>0</v>
      </c>
      <c r="R108" s="76">
        <f t="shared" si="22"/>
        <v>0</v>
      </c>
      <c r="S108" s="76">
        <f t="shared" si="23"/>
        <v>0</v>
      </c>
      <c r="T108" s="76">
        <f t="shared" si="24"/>
        <v>0</v>
      </c>
      <c r="U108" s="76">
        <f t="shared" si="25"/>
        <v>0</v>
      </c>
      <c r="V108" s="76">
        <f t="shared" si="26"/>
        <v>0</v>
      </c>
      <c r="W108" s="76">
        <f t="shared" si="27"/>
        <v>0</v>
      </c>
      <c r="X108" s="76">
        <f t="shared" si="28"/>
        <v>0</v>
      </c>
      <c r="Y108" s="76">
        <f t="shared" si="29"/>
        <v>0</v>
      </c>
      <c r="Z108" s="76">
        <f t="shared" si="30"/>
        <v>0</v>
      </c>
      <c r="AA108" s="76">
        <f t="shared" si="31"/>
        <v>0</v>
      </c>
      <c r="AB108" s="76">
        <f t="shared" si="32"/>
        <v>0</v>
      </c>
      <c r="AC108" s="76">
        <f t="shared" si="33"/>
        <v>0</v>
      </c>
      <c r="AD108" s="76">
        <f t="shared" si="34"/>
        <v>0</v>
      </c>
      <c r="AE108" s="76">
        <f t="shared" si="35"/>
        <v>0</v>
      </c>
      <c r="AF108" s="76">
        <f t="shared" si="36"/>
        <v>0</v>
      </c>
      <c r="AG108" s="76">
        <f t="shared" si="37"/>
        <v>0</v>
      </c>
      <c r="AH108" s="76">
        <f t="shared" si="38"/>
        <v>0</v>
      </c>
      <c r="AI108" s="76">
        <f t="shared" si="39"/>
        <v>0</v>
      </c>
      <c r="AJ108" s="76">
        <f t="shared" si="40"/>
        <v>0</v>
      </c>
      <c r="AK108" s="76">
        <f t="shared" si="41"/>
        <v>0</v>
      </c>
      <c r="AL108" s="76">
        <f t="shared" si="42"/>
        <v>0</v>
      </c>
    </row>
    <row r="109" spans="2:38" ht="12.75" hidden="1">
      <c r="B109"/>
      <c r="C109" s="76">
        <f t="shared" si="7"/>
        <v>0</v>
      </c>
      <c r="D109" s="76">
        <f t="shared" si="8"/>
        <v>0</v>
      </c>
      <c r="E109" s="76">
        <f t="shared" si="9"/>
        <v>0</v>
      </c>
      <c r="F109" s="76">
        <f t="shared" si="10"/>
        <v>0</v>
      </c>
      <c r="G109" s="76">
        <f t="shared" si="11"/>
        <v>0</v>
      </c>
      <c r="H109" s="76">
        <f t="shared" si="12"/>
        <v>0</v>
      </c>
      <c r="I109" s="76">
        <f t="shared" si="13"/>
        <v>0</v>
      </c>
      <c r="J109" s="76">
        <f t="shared" si="14"/>
        <v>0</v>
      </c>
      <c r="K109" s="76">
        <f t="shared" si="15"/>
        <v>0</v>
      </c>
      <c r="L109" s="76">
        <f t="shared" si="16"/>
        <v>0</v>
      </c>
      <c r="M109" s="76">
        <f t="shared" si="17"/>
        <v>0</v>
      </c>
      <c r="N109" s="76">
        <f t="shared" si="18"/>
        <v>0</v>
      </c>
      <c r="O109" s="76">
        <f t="shared" si="19"/>
        <v>0</v>
      </c>
      <c r="P109" s="76">
        <f t="shared" si="20"/>
        <v>0</v>
      </c>
      <c r="Q109" s="76">
        <f t="shared" si="21"/>
        <v>0</v>
      </c>
      <c r="R109" s="76">
        <f t="shared" si="22"/>
        <v>0</v>
      </c>
      <c r="S109" s="76">
        <f t="shared" si="23"/>
        <v>0</v>
      </c>
      <c r="T109" s="76">
        <f t="shared" si="24"/>
        <v>0</v>
      </c>
      <c r="U109" s="76">
        <f t="shared" si="25"/>
        <v>0</v>
      </c>
      <c r="V109" s="76">
        <f t="shared" si="26"/>
        <v>0</v>
      </c>
      <c r="W109" s="76">
        <f t="shared" si="27"/>
        <v>0</v>
      </c>
      <c r="X109" s="76">
        <f t="shared" si="28"/>
        <v>0</v>
      </c>
      <c r="Y109" s="76">
        <f t="shared" si="29"/>
        <v>0</v>
      </c>
      <c r="Z109" s="76">
        <f t="shared" si="30"/>
        <v>0</v>
      </c>
      <c r="AA109" s="76">
        <f t="shared" si="31"/>
        <v>0</v>
      </c>
      <c r="AB109" s="76">
        <f t="shared" si="32"/>
        <v>0</v>
      </c>
      <c r="AC109" s="76">
        <f t="shared" si="33"/>
        <v>0</v>
      </c>
      <c r="AD109" s="76">
        <f t="shared" si="34"/>
        <v>0</v>
      </c>
      <c r="AE109" s="76">
        <f t="shared" si="35"/>
        <v>0</v>
      </c>
      <c r="AF109" s="76">
        <f t="shared" si="36"/>
        <v>0</v>
      </c>
      <c r="AG109" s="76">
        <f t="shared" si="37"/>
        <v>0</v>
      </c>
      <c r="AH109" s="76">
        <f t="shared" si="38"/>
        <v>0</v>
      </c>
      <c r="AI109" s="76">
        <f t="shared" si="39"/>
        <v>0</v>
      </c>
      <c r="AJ109" s="76">
        <f t="shared" si="40"/>
        <v>0</v>
      </c>
      <c r="AK109" s="76">
        <f t="shared" si="41"/>
        <v>0</v>
      </c>
      <c r="AL109" s="76">
        <f t="shared" si="42"/>
        <v>0</v>
      </c>
    </row>
    <row r="110" spans="2:38" ht="12.75" hidden="1">
      <c r="B110"/>
      <c r="C110" s="76">
        <f t="shared" si="7"/>
        <v>0</v>
      </c>
      <c r="D110" s="76">
        <f t="shared" si="8"/>
        <v>0</v>
      </c>
      <c r="E110" s="76">
        <f t="shared" si="9"/>
        <v>0</v>
      </c>
      <c r="F110" s="76">
        <f t="shared" si="10"/>
        <v>0</v>
      </c>
      <c r="G110" s="76">
        <f t="shared" si="11"/>
        <v>0</v>
      </c>
      <c r="H110" s="76">
        <f t="shared" si="12"/>
        <v>0</v>
      </c>
      <c r="I110" s="76">
        <f t="shared" si="13"/>
        <v>0</v>
      </c>
      <c r="J110" s="76">
        <f t="shared" si="14"/>
        <v>0</v>
      </c>
      <c r="K110" s="76">
        <f t="shared" si="15"/>
        <v>0</v>
      </c>
      <c r="L110" s="76">
        <f t="shared" si="16"/>
        <v>0</v>
      </c>
      <c r="M110" s="76">
        <f t="shared" si="17"/>
        <v>0</v>
      </c>
      <c r="N110" s="76">
        <f t="shared" si="18"/>
        <v>0</v>
      </c>
      <c r="O110" s="76">
        <f t="shared" si="19"/>
        <v>0</v>
      </c>
      <c r="P110" s="76">
        <f t="shared" si="20"/>
        <v>0</v>
      </c>
      <c r="Q110" s="76">
        <f t="shared" si="21"/>
        <v>0</v>
      </c>
      <c r="R110" s="76">
        <f t="shared" si="22"/>
        <v>0</v>
      </c>
      <c r="S110" s="76">
        <f t="shared" si="23"/>
        <v>0</v>
      </c>
      <c r="T110" s="76">
        <f t="shared" si="24"/>
        <v>0</v>
      </c>
      <c r="U110" s="76">
        <f t="shared" si="25"/>
        <v>0</v>
      </c>
      <c r="V110" s="76">
        <f t="shared" si="26"/>
        <v>0</v>
      </c>
      <c r="W110" s="76">
        <f t="shared" si="27"/>
        <v>0</v>
      </c>
      <c r="X110" s="76">
        <f t="shared" si="28"/>
        <v>0</v>
      </c>
      <c r="Y110" s="76">
        <f t="shared" si="29"/>
        <v>0</v>
      </c>
      <c r="Z110" s="76">
        <f t="shared" si="30"/>
        <v>0</v>
      </c>
      <c r="AA110" s="76">
        <f t="shared" si="31"/>
        <v>0</v>
      </c>
      <c r="AB110" s="76">
        <f t="shared" si="32"/>
        <v>0</v>
      </c>
      <c r="AC110" s="76">
        <f t="shared" si="33"/>
        <v>0</v>
      </c>
      <c r="AD110" s="76">
        <f t="shared" si="34"/>
        <v>0</v>
      </c>
      <c r="AE110" s="76">
        <f t="shared" si="35"/>
        <v>0</v>
      </c>
      <c r="AF110" s="76">
        <f t="shared" si="36"/>
        <v>0</v>
      </c>
      <c r="AG110" s="76">
        <f t="shared" si="37"/>
        <v>0</v>
      </c>
      <c r="AH110" s="76">
        <f t="shared" si="38"/>
        <v>0</v>
      </c>
      <c r="AI110" s="76">
        <f t="shared" si="39"/>
        <v>0</v>
      </c>
      <c r="AJ110" s="76">
        <f t="shared" si="40"/>
        <v>0</v>
      </c>
      <c r="AK110" s="76">
        <f t="shared" si="41"/>
        <v>0</v>
      </c>
      <c r="AL110" s="76">
        <f t="shared" si="42"/>
        <v>0</v>
      </c>
    </row>
    <row r="111" spans="2:38" ht="12.75" hidden="1">
      <c r="B111"/>
      <c r="C111" s="76">
        <f t="shared" si="7"/>
        <v>0</v>
      </c>
      <c r="D111" s="76">
        <f t="shared" si="8"/>
        <v>0</v>
      </c>
      <c r="E111" s="76">
        <f t="shared" si="9"/>
        <v>0</v>
      </c>
      <c r="F111" s="76">
        <f t="shared" si="10"/>
        <v>0</v>
      </c>
      <c r="G111" s="76">
        <f t="shared" si="11"/>
        <v>0</v>
      </c>
      <c r="H111" s="76">
        <f t="shared" si="12"/>
        <v>0</v>
      </c>
      <c r="I111" s="76">
        <f t="shared" si="13"/>
        <v>0</v>
      </c>
      <c r="J111" s="76">
        <f t="shared" si="14"/>
        <v>0</v>
      </c>
      <c r="K111" s="76">
        <f t="shared" si="15"/>
        <v>0</v>
      </c>
      <c r="L111" s="76">
        <f t="shared" si="16"/>
        <v>0</v>
      </c>
      <c r="M111" s="76">
        <f t="shared" si="17"/>
        <v>0</v>
      </c>
      <c r="N111" s="76">
        <f t="shared" si="18"/>
        <v>0</v>
      </c>
      <c r="O111" s="76">
        <f t="shared" si="19"/>
        <v>0</v>
      </c>
      <c r="P111" s="76">
        <f t="shared" si="20"/>
        <v>0</v>
      </c>
      <c r="Q111" s="76">
        <f t="shared" si="21"/>
        <v>0</v>
      </c>
      <c r="R111" s="76">
        <f t="shared" si="22"/>
        <v>0</v>
      </c>
      <c r="S111" s="76">
        <f t="shared" si="23"/>
        <v>0</v>
      </c>
      <c r="T111" s="76">
        <f t="shared" si="24"/>
        <v>0</v>
      </c>
      <c r="U111" s="76">
        <f t="shared" si="25"/>
        <v>0</v>
      </c>
      <c r="V111" s="76">
        <f t="shared" si="26"/>
        <v>0</v>
      </c>
      <c r="W111" s="76">
        <f t="shared" si="27"/>
        <v>0</v>
      </c>
      <c r="X111" s="76">
        <f t="shared" si="28"/>
        <v>0</v>
      </c>
      <c r="Y111" s="76">
        <f t="shared" si="29"/>
        <v>0</v>
      </c>
      <c r="Z111" s="76">
        <f t="shared" si="30"/>
        <v>0</v>
      </c>
      <c r="AA111" s="76">
        <f t="shared" si="31"/>
        <v>0</v>
      </c>
      <c r="AB111" s="76">
        <f t="shared" si="32"/>
        <v>0</v>
      </c>
      <c r="AC111" s="76">
        <f t="shared" si="33"/>
        <v>0</v>
      </c>
      <c r="AD111" s="76">
        <f t="shared" si="34"/>
        <v>0</v>
      </c>
      <c r="AE111" s="76">
        <f t="shared" si="35"/>
        <v>0</v>
      </c>
      <c r="AF111" s="76">
        <f t="shared" si="36"/>
        <v>0</v>
      </c>
      <c r="AG111" s="76">
        <f t="shared" si="37"/>
        <v>0</v>
      </c>
      <c r="AH111" s="76">
        <f t="shared" si="38"/>
        <v>0</v>
      </c>
      <c r="AI111" s="76">
        <f t="shared" si="39"/>
        <v>0</v>
      </c>
      <c r="AJ111" s="76">
        <f t="shared" si="40"/>
        <v>0</v>
      </c>
      <c r="AK111" s="76">
        <f t="shared" si="41"/>
        <v>0</v>
      </c>
      <c r="AL111" s="76">
        <f t="shared" si="42"/>
        <v>0</v>
      </c>
    </row>
    <row r="112" spans="2:38" ht="12.75" hidden="1">
      <c r="B112"/>
      <c r="C112" s="76">
        <f t="shared" si="7"/>
        <v>0</v>
      </c>
      <c r="D112" s="76">
        <f t="shared" si="8"/>
        <v>0</v>
      </c>
      <c r="E112" s="76">
        <f t="shared" si="9"/>
        <v>0</v>
      </c>
      <c r="F112" s="76">
        <f t="shared" si="10"/>
        <v>0</v>
      </c>
      <c r="G112" s="76">
        <f t="shared" si="11"/>
        <v>0</v>
      </c>
      <c r="H112" s="76">
        <f t="shared" si="12"/>
        <v>0</v>
      </c>
      <c r="I112" s="76">
        <f t="shared" si="13"/>
        <v>0</v>
      </c>
      <c r="J112" s="76">
        <f t="shared" si="14"/>
        <v>0</v>
      </c>
      <c r="K112" s="76">
        <f t="shared" si="15"/>
        <v>0</v>
      </c>
      <c r="L112" s="76">
        <f t="shared" si="16"/>
        <v>0</v>
      </c>
      <c r="M112" s="76">
        <f t="shared" si="17"/>
        <v>0</v>
      </c>
      <c r="N112" s="76">
        <f t="shared" si="18"/>
        <v>0</v>
      </c>
      <c r="O112" s="76">
        <f t="shared" si="19"/>
        <v>0</v>
      </c>
      <c r="P112" s="76">
        <f t="shared" si="20"/>
        <v>0</v>
      </c>
      <c r="Q112" s="76">
        <f t="shared" si="21"/>
        <v>0</v>
      </c>
      <c r="R112" s="76">
        <f t="shared" si="22"/>
        <v>0</v>
      </c>
      <c r="S112" s="76">
        <f t="shared" si="23"/>
        <v>0</v>
      </c>
      <c r="T112" s="76">
        <f t="shared" si="24"/>
        <v>0</v>
      </c>
      <c r="U112" s="76">
        <f t="shared" si="25"/>
        <v>0</v>
      </c>
      <c r="V112" s="76">
        <f t="shared" si="26"/>
        <v>0</v>
      </c>
      <c r="W112" s="76">
        <f t="shared" si="27"/>
        <v>0</v>
      </c>
      <c r="X112" s="76">
        <f t="shared" si="28"/>
        <v>0</v>
      </c>
      <c r="Y112" s="76">
        <f t="shared" si="29"/>
        <v>0</v>
      </c>
      <c r="Z112" s="76">
        <f t="shared" si="30"/>
        <v>0</v>
      </c>
      <c r="AA112" s="76">
        <f t="shared" si="31"/>
        <v>0</v>
      </c>
      <c r="AB112" s="76">
        <f t="shared" si="32"/>
        <v>0</v>
      </c>
      <c r="AC112" s="76">
        <f t="shared" si="33"/>
        <v>0</v>
      </c>
      <c r="AD112" s="76">
        <f t="shared" si="34"/>
        <v>0</v>
      </c>
      <c r="AE112" s="76">
        <f t="shared" si="35"/>
        <v>0</v>
      </c>
      <c r="AF112" s="76">
        <f t="shared" si="36"/>
        <v>0</v>
      </c>
      <c r="AG112" s="76">
        <f t="shared" si="37"/>
        <v>0</v>
      </c>
      <c r="AH112" s="76">
        <f t="shared" si="38"/>
        <v>0</v>
      </c>
      <c r="AI112" s="76">
        <f t="shared" si="39"/>
        <v>0</v>
      </c>
      <c r="AJ112" s="76">
        <f t="shared" si="40"/>
        <v>0</v>
      </c>
      <c r="AK112" s="76">
        <f t="shared" si="41"/>
        <v>0</v>
      </c>
      <c r="AL112" s="76">
        <f t="shared" si="42"/>
        <v>0</v>
      </c>
    </row>
    <row r="113" spans="2:25" ht="12.75" hidden="1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2:25" ht="12.7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</row>
    <row r="115" spans="2:25" ht="12.7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</row>
    <row r="116" spans="2:25" ht="12.7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</row>
    <row r="117" spans="2:25" ht="12.7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</row>
    <row r="118" spans="2:25" ht="12.7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</row>
    <row r="119" spans="2:25" ht="12.7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</row>
    <row r="120" spans="2:25" ht="12.7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</row>
    <row r="121" spans="2:25" ht="12.7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</row>
    <row r="122" spans="2:25" ht="12.7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</row>
    <row r="123" spans="2:25" ht="12.7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</row>
    <row r="124" spans="2:25" ht="12.7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</row>
    <row r="125" spans="2:25" ht="12.7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</row>
    <row r="126" spans="2:25" ht="12.7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2:25" ht="12.7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</row>
    <row r="128" spans="2:25" ht="12.7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</row>
    <row r="129" spans="2:25" ht="12.7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</row>
    <row r="130" spans="2:25" ht="12.7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</row>
    <row r="131" spans="2:25" ht="12.7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</row>
    <row r="132" spans="2:25" ht="12.7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</row>
    <row r="133" spans="2:25" ht="12.7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</row>
    <row r="134" spans="2:25" ht="12.7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</row>
    <row r="135" spans="2:25" ht="12.7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</row>
    <row r="136" spans="2:25" ht="12.7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</row>
    <row r="137" spans="2:25" ht="12.7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</row>
    <row r="138" spans="2:25" ht="12.7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</row>
    <row r="139" spans="2:25" ht="12.7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</row>
    <row r="140" spans="2:25" ht="12.7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2:25" ht="12.7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</row>
    <row r="142" spans="2:25" ht="12.7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</row>
  </sheetData>
  <sheetProtection password="C903" sheet="1" objects="1" scenarios="1"/>
  <mergeCells count="77">
    <mergeCell ref="O47:V47"/>
    <mergeCell ref="R22:S22"/>
    <mergeCell ref="R23:S23"/>
    <mergeCell ref="R24:S24"/>
    <mergeCell ref="R32:S32"/>
    <mergeCell ref="R25:S25"/>
    <mergeCell ref="R26:S26"/>
    <mergeCell ref="R31:S31"/>
    <mergeCell ref="R33:S33"/>
    <mergeCell ref="R28:S28"/>
    <mergeCell ref="R29:S29"/>
    <mergeCell ref="R30:S30"/>
    <mergeCell ref="R27:S27"/>
    <mergeCell ref="P25:Q25"/>
    <mergeCell ref="P28:Q28"/>
    <mergeCell ref="P29:Q29"/>
    <mergeCell ref="P27:Q27"/>
    <mergeCell ref="E6:G6"/>
    <mergeCell ref="P21:Q21"/>
    <mergeCell ref="P22:Q22"/>
    <mergeCell ref="L15:L20"/>
    <mergeCell ref="Q6:S6"/>
    <mergeCell ref="S9:T9"/>
    <mergeCell ref="S7:T7"/>
    <mergeCell ref="R15:S19"/>
    <mergeCell ref="R12:V13"/>
    <mergeCell ref="R21:S21"/>
    <mergeCell ref="M17:M20"/>
    <mergeCell ref="E38:H38"/>
    <mergeCell ref="D34:E34"/>
    <mergeCell ref="E36:H36"/>
    <mergeCell ref="L36:Q36"/>
    <mergeCell ref="L38:Q38"/>
    <mergeCell ref="K34:M34"/>
    <mergeCell ref="P34:S34"/>
    <mergeCell ref="P30:Q30"/>
    <mergeCell ref="P31:Q31"/>
    <mergeCell ref="E7:G7"/>
    <mergeCell ref="E8:G9"/>
    <mergeCell ref="E10:G10"/>
    <mergeCell ref="E12:G13"/>
    <mergeCell ref="K5:L5"/>
    <mergeCell ref="M5:N5"/>
    <mergeCell ref="N12:Q13"/>
    <mergeCell ref="K7:N7"/>
    <mergeCell ref="K8:N9"/>
    <mergeCell ref="K10:N10"/>
    <mergeCell ref="K12:M13"/>
    <mergeCell ref="T15:V16"/>
    <mergeCell ref="T17:T20"/>
    <mergeCell ref="U17:U20"/>
    <mergeCell ref="V17:V20"/>
    <mergeCell ref="P32:Q32"/>
    <mergeCell ref="P33:Q33"/>
    <mergeCell ref="P24:Q24"/>
    <mergeCell ref="P15:Q19"/>
    <mergeCell ref="P23:Q23"/>
    <mergeCell ref="P26:Q26"/>
    <mergeCell ref="T45:V45"/>
    <mergeCell ref="T41:V41"/>
    <mergeCell ref="R41:S41"/>
    <mergeCell ref="P41:Q41"/>
    <mergeCell ref="P42:Q42"/>
    <mergeCell ref="P40:V40"/>
    <mergeCell ref="T42:V42"/>
    <mergeCell ref="T43:V43"/>
    <mergeCell ref="T44:V44"/>
    <mergeCell ref="T46:V46"/>
    <mergeCell ref="P46:Q46"/>
    <mergeCell ref="R42:S42"/>
    <mergeCell ref="R43:S43"/>
    <mergeCell ref="R44:S44"/>
    <mergeCell ref="R45:S45"/>
    <mergeCell ref="R46:S46"/>
    <mergeCell ref="P43:Q43"/>
    <mergeCell ref="P44:Q44"/>
    <mergeCell ref="P45:Q45"/>
  </mergeCells>
  <dataValidations count="15">
    <dataValidation type="whole" operator="greaterThan" showInputMessage="1" showErrorMessage="1" sqref="E22:E33">
      <formula1>0</formula1>
    </dataValidation>
    <dataValidation type="whole" operator="greaterThan" allowBlank="1" showInputMessage="1" showErrorMessage="1" sqref="F21:F33">
      <formula1>0</formula1>
    </dataValidation>
    <dataValidation operator="greaterThan" allowBlank="1" showInputMessage="1" showErrorMessage="1" sqref="G21:G33 N21:O33"/>
    <dataValidation operator="greaterThan" showInputMessage="1" showErrorMessage="1" sqref="D21:D33"/>
    <dataValidation type="list" allowBlank="1" showInputMessage="1" showErrorMessage="1" prompt="Select operation type from the drop down list." sqref="R9">
      <formula1>"Swine,Poultry,Dairy"</formula1>
    </dataValidation>
    <dataValidation type="custom" showInputMessage="1" showErrorMessage="1" sqref="M21">
      <formula1>L21&gt;0</formula1>
    </dataValidation>
    <dataValidation type="list" showInputMessage="1" showErrorMessage="1" prompt="Select the weather code from the drop down list.&#10;c-    Clear&#10;pc-  Partly Cloudy&#10;cl -  Cloudy&#10;r -   Rain&#10;s -   Snow/Sleet&#10;w -  Windy" error="Enter weather code as shown below.&#10;c   &#10;pc&#10;cl&#10;r&#10;s&#10;w" sqref="T21:V33">
      <formula1>"c,pc,cl,r,s,w"</formula1>
    </dataValidation>
    <dataValidation type="custom" operator="greaterThanOrEqual" showInputMessage="1" showErrorMessage="1" sqref="K22:K33">
      <formula1>PRODUCT(K22&gt;0)</formula1>
    </dataValidation>
    <dataValidation type="custom" operator="greaterThan" showInputMessage="1" showErrorMessage="1" sqref="E21">
      <formula1>L21&gt;0</formula1>
    </dataValidation>
    <dataValidation operator="greaterThanOrEqual" showInputMessage="1" showErrorMessage="1" sqref="L21:L33"/>
    <dataValidation type="list" showInputMessage="1" showErrorMessage="1" prompt="Select application method from the drop down list.&#10;si = soil incorporated&#10;       (disked)&#10;br = broadcast  &#10;        (surface applied)&#10;in = injected (for slurry and           &#10;       sludge only)" error="Enter application method as shown below.&#10;si &#10;br&#10;in " sqref="H22:H33">
      <formula1>"si,br,in"</formula1>
    </dataValidation>
    <dataValidation type="list" allowBlank="1" showInputMessage="1" showErrorMessage="1" prompt="Select operation type from the drop down list." error="Enter type of operation from the following:&#10;swine&#10;poultry&#10;dairy&#10;beef" sqref="S9:T9">
      <formula1>"swine,poultry,dairy,beef"</formula1>
    </dataValidation>
    <dataValidation type="list" showInputMessage="1" showErrorMessage="1" prompt="Enter type of waste. &#10;slurry&#10;sludge (swine, poultry, and beef) &#10;msssp =  manure surface scraped &#10;               or stockpiled&#10;               (dairys, swine, and beef)&#10;                 " error="Entry must be from the following:&#10;slurry&#10;sludge&#10;msssp" sqref="I21:I33">
      <formula1>"slurry,sludge,msssp"</formula1>
    </dataValidation>
    <dataValidation type="date" showInputMessage="1" showErrorMessage="1" prompt="Enter date in following format:&#10;mm/dd/yr&#10;Example: 4/13/06" error="Enter date in following format:&#10;mm/dd/yr&#10;Example: 04/13/06" sqref="C21:C33">
      <formula1>38717</formula1>
      <formula2>109210</formula2>
    </dataValidation>
    <dataValidation type="list" showInputMessage="1" showErrorMessage="1" prompt="Select application method from the drop down list.&#10;si = soil incorporated&#10;       (disked)&#10;br = broadcast  &#10;        (surface applied)&#10;in = injected &#10;        (for slurry and sludge only)" error="Enter application method as shown below.&#10;si &#10;br&#10;in " sqref="H21">
      <formula1>"si,br,in"</formula1>
    </dataValidation>
  </dataValidations>
  <printOptions/>
  <pageMargins left="0.1" right="0.1" top="0" bottom="0" header="0" footer="0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N15"/>
  <sheetViews>
    <sheetView workbookViewId="0" topLeftCell="A1">
      <selection activeCell="C15" sqref="C15"/>
    </sheetView>
  </sheetViews>
  <sheetFormatPr defaultColWidth="9.140625" defaultRowHeight="12.75"/>
  <sheetData>
    <row r="1" spans="1:2" ht="12.75">
      <c r="A1" s="245" t="s">
        <v>80</v>
      </c>
      <c r="B1" s="245"/>
    </row>
    <row r="2" spans="1:2" ht="12.75">
      <c r="A2" t="s">
        <v>75</v>
      </c>
      <c r="B2">
        <v>0.7</v>
      </c>
    </row>
    <row r="3" spans="1:2" ht="12.75">
      <c r="A3" t="s">
        <v>76</v>
      </c>
      <c r="B3">
        <v>0.7</v>
      </c>
    </row>
    <row r="4" spans="1:2" ht="12.75">
      <c r="A4" t="s">
        <v>77</v>
      </c>
      <c r="B4">
        <v>0.7</v>
      </c>
    </row>
    <row r="7" spans="1:14" ht="12.75">
      <c r="A7" s="245" t="s">
        <v>81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</row>
    <row r="8" ht="12.75">
      <c r="A8" t="s">
        <v>75</v>
      </c>
    </row>
    <row r="9" spans="1:2" ht="12.75">
      <c r="A9" t="s">
        <v>82</v>
      </c>
      <c r="B9">
        <v>0.7</v>
      </c>
    </row>
    <row r="10" spans="1:2" ht="12.75">
      <c r="A10" t="s">
        <v>83</v>
      </c>
      <c r="B10">
        <v>0.8</v>
      </c>
    </row>
    <row r="11" spans="1:2" ht="12.75">
      <c r="A11" t="s">
        <v>84</v>
      </c>
      <c r="B11">
        <v>0.8</v>
      </c>
    </row>
    <row r="13" ht="12.75">
      <c r="A13" t="s">
        <v>76</v>
      </c>
    </row>
    <row r="14" spans="1:2" ht="12.75">
      <c r="A14" t="s">
        <v>82</v>
      </c>
      <c r="B14">
        <v>0.7</v>
      </c>
    </row>
    <row r="15" spans="1:2" ht="12.75">
      <c r="A15" t="s">
        <v>83</v>
      </c>
      <c r="B15">
        <v>0.8</v>
      </c>
    </row>
  </sheetData>
  <mergeCells count="2">
    <mergeCell ref="A1:B1"/>
    <mergeCell ref="A7:N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C33"/>
  <sheetViews>
    <sheetView workbookViewId="0" topLeftCell="A1">
      <selection activeCell="A1" sqref="A1"/>
    </sheetView>
  </sheetViews>
  <sheetFormatPr defaultColWidth="9.140625" defaultRowHeight="12.75"/>
  <sheetData>
    <row r="1" spans="1:25" ht="12.75">
      <c r="A1">
        <f>IF('P2O5 IRR-2 With Formulas'!E23&lt;0,1440,0)</f>
        <v>0</v>
      </c>
      <c r="C1">
        <f>IF(AND('P2O5 SLUR-2 With Formulas'!S9="Swine",'P2O5 SLUR-2 With Formulas'!H21="BR",'P2O5 SLUR-2 With Formulas'!I21="liquid"),0.7,'Formula Sheet'!D1)</f>
        <v>0</v>
      </c>
      <c r="D1">
        <f>IF(AND('P2O5 SLUR-2 With Formulas'!S9="Swine",'P2O5 SLUR-2 With Formulas'!H21="IN",'P2O5 SLUR-2 With Formulas'!I21="liquid"),0.8,'Formula Sheet'!E1)</f>
        <v>0</v>
      </c>
      <c r="E1">
        <f>IF(AND('P2O5 SLUR-2 With Formulas'!T9="Swine",'P2O5 SLUR-2 With Formulas'!I21="IN",'P2O5 SLUR-2 With Formulas'!J21="liquid"),0.8,'Formula Sheet'!F1)</f>
        <v>0</v>
      </c>
      <c r="F1">
        <f>IF(AND('P2O5 SLUR-2 With Formulas'!S9="Swine",'P2O5 SLUR-2 With Formulas'!H21="IN",'P2O5 SLUR-2 With Formulas'!I21="slurry"),0.8,'Formula Sheet'!G1)</f>
        <v>0</v>
      </c>
      <c r="G1">
        <f>IF(AND('P2O5 SLUR-2 With Formulas'!S9="Swine",'P2O5 SLUR-2 With Formulas'!H21="SI",'P2O5 SLUR-2 With Formulas'!I21="slurry"),0.8,'Formula Sheet'!H1)</f>
        <v>0</v>
      </c>
      <c r="H1">
        <f>IF(AND('P2O5 SLUR-2 With Formulas'!S9="Swine",'P2O5 SLUR-2 With Formulas'!H21="BR",'P2O5 SLUR-2 With Formulas'!I21="slurry"),0.7,'Formula Sheet'!I1)</f>
        <v>0</v>
      </c>
      <c r="I1">
        <f>IF(AND('P2O5 SLUR-2 With Formulas'!S9="Swine",'P2O5 SLUR-2 With Formulas'!H21="BR",'P2O5 SLUR-2 With Formulas'!I21="sludge"),0.7,'Formula Sheet'!J1)</f>
        <v>0</v>
      </c>
      <c r="J1">
        <f>IF(AND('P2O5 SLUR-2 With Formulas'!S9="Swine",'P2O5 SLUR-2 With Formulas'!H21="SI",'P2O5 SLUR-2 With Formulas'!I21="sludge"),0.8,'Formula Sheet'!K1)</f>
        <v>0</v>
      </c>
      <c r="K1">
        <f>IF(AND('P2O5 SLUR-2 With Formulas'!S9="Swine",'P2O5 SLUR-2 With Formulas'!H21="IN",'P2O5 SLUR-2 With Formulas'!I21="sludge"),0.8,'Formula Sheet'!L1)</f>
        <v>0</v>
      </c>
      <c r="L1">
        <f>IF(AND('P2O5 SLUR-2 With Formulas'!S9="Poultry",'P2O5 SLUR-2 With Formulas'!H21="SI",'P2O5 SLUR-2 With Formulas'!I21="sludge"),0.8,'Formula Sheet'!M1)</f>
        <v>0</v>
      </c>
      <c r="M1">
        <f>IF(AND('P2O5 SLUR-2 With Formulas'!S9="Poultry",'P2O5 SLUR-2 With Formulas'!H21="BR",'P2O5 SLUR-2 With Formulas'!I21="sludge"),0.7,'Formula Sheet'!N1)</f>
        <v>0</v>
      </c>
      <c r="N1">
        <f>IF(AND('P2O5 SLUR-2 With Formulas'!S9="Poultry",'P2O5 SLUR-2 With Formulas'!H21="IN",'P2O5 SLUR-2 With Formulas'!I21="sludge"),0.7,'Formula Sheet'!O1)</f>
        <v>0</v>
      </c>
      <c r="O1">
        <f>IF(AND('P2O5 SLUR-2 With Formulas'!S9="Poultry",'P2O5 SLUR-2 With Formulas'!H21="IN",'P2O5 SLUR-2 With Formulas'!I21="slurry"),0.8,'Formula Sheet'!P1)</f>
        <v>0</v>
      </c>
      <c r="P1">
        <f>IF(AND('P2O5 SLUR-2 With Formulas'!S9="Poultry",'P2O5 SLUR-2 With Formulas'!H21="BR",'P2O5 SLUR-2 With Formulas'!I21="slurry"),0.7,'Formula Sheet'!Q1)</f>
        <v>0</v>
      </c>
      <c r="Q1">
        <f>IF(AND('P2O5 SLUR-2 With Formulas'!S9="Poultry",'P2O5 SLUR-2 With Formulas'!H21="SI",'P2O5 SLUR-2 With Formulas'!I21="slurry"),0.8,'Formula Sheet'!R1)</f>
        <v>0</v>
      </c>
      <c r="R1">
        <f>IF(AND('P2O5 SLUR-2 With Formulas'!S9="Poultry",'P2O5 SLUR-2 With Formulas'!H21="SI",'P2O5 SLUR-2 With Formulas'!I21="liquid"),0.8,'Formula Sheet'!S1)</f>
        <v>0</v>
      </c>
      <c r="S1">
        <f>IF(AND('P2O5 SLUR-2 With Formulas'!S9="Poultry",'P2O5 SLUR-2 With Formulas'!H21="BR",'P2O5 SLUR-2 With Formulas'!I21="liquid"),0.7,'Formula Sheet'!T1)</f>
        <v>0</v>
      </c>
      <c r="T1">
        <f>IF(AND('P2O5 SLUR-2 With Formulas'!S9="Poultry",'P2O5 SLUR-2 With Formulas'!H21="IN",'P2O5 SLUR-2 With Formulas'!I21="liquid"),0.8,'Formula Sheet'!U1)</f>
        <v>0</v>
      </c>
      <c r="U1">
        <f>IF(AND('P2O5 SLUR-2 With Formulas'!S9="Dairy",'P2O5 SLUR-2 With Formulas'!H21="IN",'P2O5 SLUR-2 With Formulas'!I21="slurry"),0.8,'Formula Sheet'!V1)</f>
        <v>0</v>
      </c>
      <c r="V1">
        <f>IF(AND('P2O5 SLUR-2 With Formulas'!S9="Dairy",'P2O5 SLUR-2 With Formulas'!H21="BR",'P2O5 SLUR-2 With Formulas'!I21="slurry"),0.7,'Formula Sheet'!W1)</f>
        <v>0</v>
      </c>
      <c r="W1">
        <f>IF(AND('P2O5 SLUR-2 With Formulas'!S9="Dairy",'P2O5 SLUR-2 With Formulas'!H21="SI",'P2O5 SLUR-2 With Formulas'!I21="slurry"),0.8,'Formula Sheet'!X1)</f>
        <v>0</v>
      </c>
      <c r="X1">
        <f>IF(AND('P2O5 SLUR-2 With Formulas'!S9="Dairy",'P2O5 SLUR-2 With Formulas'!H21="BR",'P2O5 SLUR-2 With Formulas'!I21="DMSSSP"),0.6,'Formula Sheet'!Y1)</f>
        <v>0</v>
      </c>
      <c r="Y1">
        <f>IF(AND('P2O5 SLUR-2 With Formulas'!S9="Dairy",'P2O5 SLUR-2 With Formulas'!H21="SI",'P2O5 SLUR-2 With Formulas'!I21="DMSSSP"),0.75,'Formula Sheet'!Z1)</f>
        <v>0</v>
      </c>
    </row>
    <row r="2" spans="1:25" ht="12.75">
      <c r="A2">
        <f>IF('P2O5 IRR-2 With Formulas'!E24&lt;0,1440,0)</f>
        <v>0</v>
      </c>
      <c r="C2">
        <f>IF(AND('P2O5 SLUR-2 With Formulas'!S9="Swine",'P2O5 SLUR-2 With Formulas'!H22="BR",'P2O5 SLUR-2 With Formulas'!I22="liquid"),0.7,'Formula Sheet'!D2)</f>
        <v>0</v>
      </c>
      <c r="D2">
        <f>IF(AND('P2O5 SLUR-2 With Formulas'!S9="Swine",'P2O5 SLUR-2 With Formulas'!H22="IN",'P2O5 SLUR-2 With Formulas'!I22="liquid"),0.8,'Formula Sheet'!E2)</f>
        <v>0</v>
      </c>
      <c r="E2">
        <f>IF(AND('P2O5 SLUR-2 With Formulas'!S9="Swine",'P2O5 SLUR-2 With Formulas'!I22="IN",'P2O5 SLUR-2 With Formulas'!J22="liquid"),0.8,'Formula Sheet'!F2)</f>
        <v>0</v>
      </c>
      <c r="F2">
        <f>IF(AND('P2O5 SLUR-2 With Formulas'!S9="Swine",'P2O5 SLUR-2 With Formulas'!H22="IN",'P2O5 SLUR-2 With Formulas'!I22="slurry"),0.8,'Formula Sheet'!G2)</f>
        <v>0</v>
      </c>
      <c r="G2">
        <f>IF(AND('P2O5 SLUR-2 With Formulas'!S9="Swine",'P2O5 SLUR-2 With Formulas'!H22="SI",'P2O5 SLUR-2 With Formulas'!I22="slurry"),0.8,'Formula Sheet'!H2)</f>
        <v>0</v>
      </c>
      <c r="H2">
        <f>IF(AND('P2O5 SLUR-2 With Formulas'!S9="Swine",'P2O5 SLUR-2 With Formulas'!H22="BR",'P2O5 SLUR-2 With Formulas'!I22="slurry"),0.7,'Formula Sheet'!I2)</f>
        <v>0</v>
      </c>
      <c r="I2">
        <f>IF(AND('P2O5 SLUR-2 With Formulas'!S9="Swine",'P2O5 SLUR-2 With Formulas'!H22="BR",'P2O5 SLUR-2 With Formulas'!I22="sludge"),0.7,'Formula Sheet'!J2)</f>
        <v>0</v>
      </c>
      <c r="J2">
        <f>IF(AND('P2O5 SLUR-2 With Formulas'!S9="Swine",'P2O5 SLUR-2 With Formulas'!H22="SI",'P2O5 SLUR-2 With Formulas'!I22="sludge"),0.8,'Formula Sheet'!K2)</f>
        <v>0</v>
      </c>
      <c r="K2">
        <f>IF(AND('P2O5 SLUR-2 With Formulas'!S9="Swine",'P2O5 SLUR-2 With Formulas'!H22="IN",'P2O5 SLUR-2 With Formulas'!I22="sludge"),0.8,'Formula Sheet'!L2)</f>
        <v>0</v>
      </c>
      <c r="L2">
        <f>IF(AND('P2O5 SLUR-2 With Formulas'!S9="Poultry",'P2O5 SLUR-2 With Formulas'!H22="SI",'P2O5 SLUR-2 With Formulas'!I22="sludge"),0.8,'Formula Sheet'!M2)</f>
        <v>0</v>
      </c>
      <c r="M2">
        <f>IF(AND('P2O5 SLUR-2 With Formulas'!S9="Poultry",'P2O5 SLUR-2 With Formulas'!H22="BR",'P2O5 SLUR-2 With Formulas'!I22="sludge"),0.7,'Formula Sheet'!N2)</f>
        <v>0</v>
      </c>
      <c r="N2">
        <f>IF(AND('P2O5 SLUR-2 With Formulas'!S9="Poultry",'P2O5 SLUR-2 With Formulas'!H22="IN",'P2O5 SLUR-2 With Formulas'!I22="sludge"),0.7,'Formula Sheet'!O2)</f>
        <v>0</v>
      </c>
      <c r="O2">
        <f>IF(AND('P2O5 SLUR-2 With Formulas'!S9="Poultry",'P2O5 SLUR-2 With Formulas'!H22="IN",'P2O5 SLUR-2 With Formulas'!I22="slurry"),0.8,'Formula Sheet'!P2)</f>
        <v>0</v>
      </c>
      <c r="P2">
        <f>IF(AND('P2O5 SLUR-2 With Formulas'!S9="Poultry",'P2O5 SLUR-2 With Formulas'!H22="BR",'P2O5 SLUR-2 With Formulas'!I22="slurry"),0.7,'Formula Sheet'!Q2)</f>
        <v>0</v>
      </c>
      <c r="Q2">
        <f>IF(AND('P2O5 SLUR-2 With Formulas'!S9="Poultry",'P2O5 SLUR-2 With Formulas'!H22="SI",'P2O5 SLUR-2 With Formulas'!I22="slurry"),0.8,'Formula Sheet'!R2)</f>
        <v>0</v>
      </c>
      <c r="R2">
        <f>IF(AND('P2O5 SLUR-2 With Formulas'!S9="Poultry",'P2O5 SLUR-2 With Formulas'!H22="SI",'P2O5 SLUR-2 With Formulas'!I22="liquid"),0.8,'Formula Sheet'!S2)</f>
        <v>0</v>
      </c>
      <c r="S2">
        <f>IF(AND('P2O5 SLUR-2 With Formulas'!S9="Poultry",'P2O5 SLUR-2 With Formulas'!H22="BR",'P2O5 SLUR-2 With Formulas'!I22="liquid"),0.7,'Formula Sheet'!T2)</f>
        <v>0</v>
      </c>
      <c r="T2">
        <f>IF(AND('P2O5 SLUR-2 With Formulas'!S9="Poultry",'P2O5 SLUR-2 With Formulas'!H22="IN",'P2O5 SLUR-2 With Formulas'!I22="liquid"),0.8,'Formula Sheet'!U2)</f>
        <v>0</v>
      </c>
      <c r="U2">
        <f>IF(AND('P2O5 SLUR-2 With Formulas'!S9="Dairy",'P2O5 SLUR-2 With Formulas'!H22="IN",'P2O5 SLUR-2 With Formulas'!I22="slurry"),0.8,'Formula Sheet'!V2)</f>
        <v>0</v>
      </c>
      <c r="V2">
        <f>IF(AND('P2O5 SLUR-2 With Formulas'!S9="Dairy",'P2O5 SLUR-2 With Formulas'!H22="BR",'P2O5 SLUR-2 With Formulas'!I22="slurry"),0.7,'Formula Sheet'!W2)</f>
        <v>0</v>
      </c>
      <c r="W2">
        <f>IF(AND('P2O5 SLUR-2 With Formulas'!S9="Dairy",'P2O5 SLUR-2 With Formulas'!H22="SI",'P2O5 SLUR-2 With Formulas'!I22="slurry"),0.8,'Formula Sheet'!X2)</f>
        <v>0</v>
      </c>
      <c r="X2">
        <f>IF(AND('P2O5 SLUR-2 With Formulas'!S9="Dairy",'P2O5 SLUR-2 With Formulas'!H22="BR",'P2O5 SLUR-2 With Formulas'!I22="DMSSSP"),0.6,'Formula Sheet'!Y2)</f>
        <v>0</v>
      </c>
      <c r="Y2">
        <f>IF(AND('P2O5 SLUR-2 With Formulas'!S9="Dairy",'P2O5 SLUR-2 With Formulas'!H22="SI",'P2O5 SLUR-2 With Formulas'!I22="DMSSSP"),0.75,'Formula Sheet'!Z2)</f>
        <v>0</v>
      </c>
    </row>
    <row r="3" spans="1:25" ht="12.75">
      <c r="A3">
        <f>IF('P2O5 IRR-2 With Formulas'!E25&lt;0,1440,0)</f>
        <v>0</v>
      </c>
      <c r="C3">
        <f>IF(AND('P2O5 SLUR-2 With Formulas'!S9="Swine",'P2O5 SLUR-2 With Formulas'!H23="BR",'P2O5 SLUR-2 With Formulas'!I23="liquid"),0.7,'Formula Sheet'!D3)</f>
        <v>0</v>
      </c>
      <c r="D3">
        <f>IF(AND('P2O5 SLUR-2 With Formulas'!S9="Swine",'P2O5 SLUR-2 With Formulas'!H23="IN",'P2O5 SLUR-2 With Formulas'!I23="liquid"),0.8,'Formula Sheet'!E3)</f>
        <v>0</v>
      </c>
      <c r="E3">
        <f>IF(AND('P2O5 SLUR-2 With Formulas'!S9="Swine",'P2O5 SLUR-2 With Formulas'!I23="IN",'P2O5 SLUR-2 With Formulas'!J23="liquid"),0.8,'Formula Sheet'!F3)</f>
        <v>0</v>
      </c>
      <c r="F3">
        <f>IF(AND('P2O5 SLUR-2 With Formulas'!S9="Swine",'P2O5 SLUR-2 With Formulas'!H23="IN",'P2O5 SLUR-2 With Formulas'!I23="slurry"),0.8,'Formula Sheet'!G3)</f>
        <v>0</v>
      </c>
      <c r="G3">
        <f>IF(AND('P2O5 SLUR-2 With Formulas'!S9="Swine",'P2O5 SLUR-2 With Formulas'!H23="SI",'P2O5 SLUR-2 With Formulas'!I23="slurry"),0.8,'Formula Sheet'!H3)</f>
        <v>0</v>
      </c>
      <c r="H3">
        <f>IF(AND('P2O5 SLUR-2 With Formulas'!S9="Swine",'P2O5 SLUR-2 With Formulas'!H23="BR",'P2O5 SLUR-2 With Formulas'!I23="slurry"),0.7,'Formula Sheet'!I3)</f>
        <v>0</v>
      </c>
      <c r="I3">
        <f>IF(AND('P2O5 SLUR-2 With Formulas'!S9="Swine",'P2O5 SLUR-2 With Formulas'!H23="BR",'P2O5 SLUR-2 With Formulas'!I23="sludge"),0.7,'Formula Sheet'!J3)</f>
        <v>0</v>
      </c>
      <c r="J3">
        <f>IF(AND('P2O5 SLUR-2 With Formulas'!S9="Swine",'P2O5 SLUR-2 With Formulas'!H23="SI",'P2O5 SLUR-2 With Formulas'!I23="sludge"),0.8,'Formula Sheet'!K3)</f>
        <v>0</v>
      </c>
      <c r="K3">
        <f>IF(AND('P2O5 SLUR-2 With Formulas'!S9="Swine",'P2O5 SLUR-2 With Formulas'!H23="IN",'P2O5 SLUR-2 With Formulas'!I23="sludge"),0.8,'Formula Sheet'!L3)</f>
        <v>0</v>
      </c>
      <c r="L3">
        <f>IF(AND('P2O5 SLUR-2 With Formulas'!S9="Poultry",'P2O5 SLUR-2 With Formulas'!H23="SI",'P2O5 SLUR-2 With Formulas'!I23="sludge"),0.8,'Formula Sheet'!M3)</f>
        <v>0</v>
      </c>
      <c r="M3">
        <f>IF(AND('P2O5 SLUR-2 With Formulas'!S9="Poultry",'P2O5 SLUR-2 With Formulas'!H23="BR",'P2O5 SLUR-2 With Formulas'!I23="sludge"),0.7,'Formula Sheet'!N3)</f>
        <v>0</v>
      </c>
      <c r="N3">
        <f>IF(AND('P2O5 SLUR-2 With Formulas'!S9="Poultry",'P2O5 SLUR-2 With Formulas'!H23="IN",'P2O5 SLUR-2 With Formulas'!I23="sludge"),0.7,'Formula Sheet'!O3)</f>
        <v>0</v>
      </c>
      <c r="O3">
        <f>IF(AND('P2O5 SLUR-2 With Formulas'!S9="Poultry",'P2O5 SLUR-2 With Formulas'!H23="IN",'P2O5 SLUR-2 With Formulas'!I23="slurry"),0.8,'Formula Sheet'!P3)</f>
        <v>0</v>
      </c>
      <c r="P3">
        <f>IF(AND('P2O5 SLUR-2 With Formulas'!S9="Poultry",'P2O5 SLUR-2 With Formulas'!H23="BR",'P2O5 SLUR-2 With Formulas'!I23="slurry"),0.7,'Formula Sheet'!Q3)</f>
        <v>0</v>
      </c>
      <c r="Q3">
        <f>IF(AND('P2O5 SLUR-2 With Formulas'!S9="Poultry",'P2O5 SLUR-2 With Formulas'!H23="SI",'P2O5 SLUR-2 With Formulas'!I23="slurry"),0.8,'Formula Sheet'!R3)</f>
        <v>0</v>
      </c>
      <c r="R3">
        <f>IF(AND('P2O5 SLUR-2 With Formulas'!S9="Poultry",'P2O5 SLUR-2 With Formulas'!H23="SI",'P2O5 SLUR-2 With Formulas'!I23="liquid"),0.8,'Formula Sheet'!S3)</f>
        <v>0</v>
      </c>
      <c r="S3">
        <f>IF(AND('P2O5 SLUR-2 With Formulas'!S9="Poultry",'P2O5 SLUR-2 With Formulas'!H23="BR",'P2O5 SLUR-2 With Formulas'!I23="liquid"),0.7,'Formula Sheet'!T3)</f>
        <v>0</v>
      </c>
      <c r="T3">
        <f>IF(AND('P2O5 SLUR-2 With Formulas'!S9="Poultry",'P2O5 SLUR-2 With Formulas'!H23="IN",'P2O5 SLUR-2 With Formulas'!I23="liquid"),0.8,'Formula Sheet'!U3)</f>
        <v>0</v>
      </c>
      <c r="U3">
        <f>IF(AND('P2O5 SLUR-2 With Formulas'!S9="Dairy",'P2O5 SLUR-2 With Formulas'!H23="IN",'P2O5 SLUR-2 With Formulas'!I23="slurry"),0.8,'Formula Sheet'!V3)</f>
        <v>0</v>
      </c>
      <c r="V3">
        <f>IF(AND('P2O5 SLUR-2 With Formulas'!S9="Dairy",'P2O5 SLUR-2 With Formulas'!H23="BR",'P2O5 SLUR-2 With Formulas'!I23="slurry"),0.7,'Formula Sheet'!W3)</f>
        <v>0</v>
      </c>
      <c r="W3">
        <f>IF(AND('P2O5 SLUR-2 With Formulas'!S9="Dairy",'P2O5 SLUR-2 With Formulas'!H23="SI",'P2O5 SLUR-2 With Formulas'!I23="slurry"),0.8,'Formula Sheet'!X3)</f>
        <v>0</v>
      </c>
      <c r="X3">
        <f>IF(AND('P2O5 SLUR-2 With Formulas'!S9="Dairy",'P2O5 SLUR-2 With Formulas'!H23="BR",'P2O5 SLUR-2 With Formulas'!I23="DMSSSP"),0.6,'Formula Sheet'!Y3)</f>
        <v>0</v>
      </c>
      <c r="Y3">
        <f>IF(AND('P2O5 SLUR-2 With Formulas'!S9="Dairy",'P2O5 SLUR-2 With Formulas'!H23="SI",'P2O5 SLUR-2 With Formulas'!I23="DMSSSP"),0.75,'Formula Sheet'!Z3)</f>
        <v>0</v>
      </c>
    </row>
    <row r="4" spans="1:25" ht="12.75">
      <c r="A4">
        <f>IF('P2O5 IRR-2 With Formulas'!E26&lt;0,1440,0)</f>
        <v>0</v>
      </c>
      <c r="C4">
        <f>IF(AND('P2O5 SLUR-2 With Formulas'!S9="Swine",'P2O5 SLUR-2 With Formulas'!H24="BR",'P2O5 SLUR-2 With Formulas'!I24="liquid"),0.7,'Formula Sheet'!D4)</f>
        <v>0</v>
      </c>
      <c r="D4">
        <f>IF(AND('P2O5 SLUR-2 With Formulas'!S9="Swine",'P2O5 SLUR-2 With Formulas'!H24="IN",'P2O5 SLUR-2 With Formulas'!I24="liquid"),0.8,'Formula Sheet'!E4)</f>
        <v>0</v>
      </c>
      <c r="E4">
        <f>IF(AND('P2O5 SLUR-2 With Formulas'!S9="Swine",'P2O5 SLUR-2 With Formulas'!I24="IN",'P2O5 SLUR-2 With Formulas'!J24="liquid"),0.8,'Formula Sheet'!F4)</f>
        <v>0</v>
      </c>
      <c r="F4">
        <f>IF(AND('P2O5 SLUR-2 With Formulas'!S9="Swine",'P2O5 SLUR-2 With Formulas'!H24="IN",'P2O5 SLUR-2 With Formulas'!I24="slurry"),0.8,'Formula Sheet'!G4)</f>
        <v>0</v>
      </c>
      <c r="G4">
        <f>IF(AND('P2O5 SLUR-2 With Formulas'!S9="Swine",'P2O5 SLUR-2 With Formulas'!H24="SI",'P2O5 SLUR-2 With Formulas'!I24="slurry"),0.8,'Formula Sheet'!H4)</f>
        <v>0</v>
      </c>
      <c r="H4">
        <f>IF(AND('P2O5 SLUR-2 With Formulas'!S9="Swine",'P2O5 SLUR-2 With Formulas'!H24="BR",'P2O5 SLUR-2 With Formulas'!I24="slurry"),0.7,'Formula Sheet'!I4)</f>
        <v>0</v>
      </c>
      <c r="I4">
        <f>IF(AND('P2O5 SLUR-2 With Formulas'!S9="Swine",'P2O5 SLUR-2 With Formulas'!H24="BR",'P2O5 SLUR-2 With Formulas'!I24="sludge"),0.7,'Formula Sheet'!J4)</f>
        <v>0</v>
      </c>
      <c r="J4">
        <f>IF(AND('P2O5 SLUR-2 With Formulas'!S9="Swine",'P2O5 SLUR-2 With Formulas'!H24="SI",'P2O5 SLUR-2 With Formulas'!I24="sludge"),0.8,'Formula Sheet'!K4)</f>
        <v>0</v>
      </c>
      <c r="K4">
        <f>IF(AND('P2O5 SLUR-2 With Formulas'!S9="Swine",'P2O5 SLUR-2 With Formulas'!H24="IN",'P2O5 SLUR-2 With Formulas'!I24="sludge"),0.8,'Formula Sheet'!L4)</f>
        <v>0</v>
      </c>
      <c r="L4">
        <f>IF(AND('P2O5 SLUR-2 With Formulas'!S9="Poultry",'P2O5 SLUR-2 With Formulas'!H24="SI",'P2O5 SLUR-2 With Formulas'!I24="sludge"),0.8,'Formula Sheet'!M4)</f>
        <v>0</v>
      </c>
      <c r="M4">
        <f>IF(AND('P2O5 SLUR-2 With Formulas'!S9="Poultry",'P2O5 SLUR-2 With Formulas'!H24="BR",'P2O5 SLUR-2 With Formulas'!I24="sludge"),0.7,'Formula Sheet'!N4)</f>
        <v>0</v>
      </c>
      <c r="N4">
        <f>IF(AND('P2O5 SLUR-2 With Formulas'!S9="Poultry",'P2O5 SLUR-2 With Formulas'!H24="IN",'P2O5 SLUR-2 With Formulas'!I24="sludge"),0.7,'Formula Sheet'!O4)</f>
        <v>0</v>
      </c>
      <c r="O4">
        <f>IF(AND('P2O5 SLUR-2 With Formulas'!S9="Poultry",'P2O5 SLUR-2 With Formulas'!H24="IN",'P2O5 SLUR-2 With Formulas'!I24="slurry"),0.8,'Formula Sheet'!P4)</f>
        <v>0</v>
      </c>
      <c r="P4">
        <f>IF(AND('P2O5 SLUR-2 With Formulas'!S9="Poultry",'P2O5 SLUR-2 With Formulas'!H24="BR",'P2O5 SLUR-2 With Formulas'!I24="slurry"),0.7,'Formula Sheet'!Q4)</f>
        <v>0</v>
      </c>
      <c r="Q4">
        <f>IF(AND('P2O5 SLUR-2 With Formulas'!S9="Poultry",'P2O5 SLUR-2 With Formulas'!H24="SI",'P2O5 SLUR-2 With Formulas'!I24="slurry"),0.8,'Formula Sheet'!R4)</f>
        <v>0</v>
      </c>
      <c r="R4">
        <f>IF(AND('P2O5 SLUR-2 With Formulas'!S9="Poultry",'P2O5 SLUR-2 With Formulas'!H24="SI",'P2O5 SLUR-2 With Formulas'!I24="liquid"),0.8,'Formula Sheet'!S4)</f>
        <v>0</v>
      </c>
      <c r="S4">
        <f>IF(AND('P2O5 SLUR-2 With Formulas'!S9="Poultry",'P2O5 SLUR-2 With Formulas'!H24="BR",'P2O5 SLUR-2 With Formulas'!I24="liquid"),0.7,'Formula Sheet'!T4)</f>
        <v>0</v>
      </c>
      <c r="T4">
        <f>IF(AND('P2O5 SLUR-2 With Formulas'!S9="Poultry",'P2O5 SLUR-2 With Formulas'!H24="IN",'P2O5 SLUR-2 With Formulas'!I24="liquid"),0.8,'Formula Sheet'!U4)</f>
        <v>0</v>
      </c>
      <c r="U4">
        <f>IF(AND('P2O5 SLUR-2 With Formulas'!S9="Dairy",'P2O5 SLUR-2 With Formulas'!H24="IN",'P2O5 SLUR-2 With Formulas'!I24="slurry"),0.8,'Formula Sheet'!V4)</f>
        <v>0</v>
      </c>
      <c r="V4">
        <f>IF(AND('P2O5 SLUR-2 With Formulas'!S9="Dairy",'P2O5 SLUR-2 With Formulas'!H24="BR",'P2O5 SLUR-2 With Formulas'!I24="slurry"),0.7,'Formula Sheet'!W4)</f>
        <v>0</v>
      </c>
      <c r="W4">
        <f>IF(AND('P2O5 SLUR-2 With Formulas'!S9="Dairy",'P2O5 SLUR-2 With Formulas'!H24="SI",'P2O5 SLUR-2 With Formulas'!I24="slurry"),0.8,'Formula Sheet'!X4)</f>
        <v>0</v>
      </c>
      <c r="X4">
        <f>IF(AND('P2O5 SLUR-2 With Formulas'!S9="Dairy",'P2O5 SLUR-2 With Formulas'!H24="BR",'P2O5 SLUR-2 With Formulas'!I24="DMSSSP"),0.6,'Formula Sheet'!Y4)</f>
        <v>0</v>
      </c>
      <c r="Y4">
        <f>IF(AND('P2O5 SLUR-2 With Formulas'!S9="Dairy",'P2O5 SLUR-2 With Formulas'!H24="SI",'P2O5 SLUR-2 With Formulas'!I24="DMSSSP"),0.75,'Formula Sheet'!Z4)</f>
        <v>0</v>
      </c>
    </row>
    <row r="5" spans="1:25" ht="12.75">
      <c r="A5">
        <f>IF('P2O5 IRR-2 With Formulas'!E27&lt;0,1440,0)</f>
        <v>0</v>
      </c>
      <c r="C5">
        <f>IF(AND('P2O5 SLUR-2 With Formulas'!S9="Swine",'P2O5 SLUR-2 With Formulas'!H25="BR",'P2O5 SLUR-2 With Formulas'!I25="liquid"),0.7,'Formula Sheet'!D5)</f>
        <v>0</v>
      </c>
      <c r="D5">
        <f>IF(AND('P2O5 SLUR-2 With Formulas'!S9="Swine",'P2O5 SLUR-2 With Formulas'!H25="IN",'P2O5 SLUR-2 With Formulas'!I25="liquid"),0.8,'Formula Sheet'!E5)</f>
        <v>0</v>
      </c>
      <c r="E5">
        <f>IF(AND('P2O5 SLUR-2 With Formulas'!S9="Swine",'P2O5 SLUR-2 With Formulas'!I25="IN",'P2O5 SLUR-2 With Formulas'!J25="liquid"),0.8,'Formula Sheet'!F5)</f>
        <v>0</v>
      </c>
      <c r="F5">
        <f>IF(AND('P2O5 SLUR-2 With Formulas'!S9="Swine",'P2O5 SLUR-2 With Formulas'!H25="IN",'P2O5 SLUR-2 With Formulas'!I25="slurry"),0.8,'Formula Sheet'!G5)</f>
        <v>0</v>
      </c>
      <c r="G5">
        <f>IF(AND('P2O5 SLUR-2 With Formulas'!S9="Swine",'P2O5 SLUR-2 With Formulas'!H25="SI",'P2O5 SLUR-2 With Formulas'!I25="slurry"),0.8,'Formula Sheet'!H5)</f>
        <v>0</v>
      </c>
      <c r="H5">
        <f>IF(AND('P2O5 SLUR-2 With Formulas'!S9="Swine",'P2O5 SLUR-2 With Formulas'!H25="BR",'P2O5 SLUR-2 With Formulas'!I25="slurry"),0.7,'Formula Sheet'!I5)</f>
        <v>0</v>
      </c>
      <c r="I5">
        <f>IF(AND('P2O5 SLUR-2 With Formulas'!S9="Swine",'P2O5 SLUR-2 With Formulas'!H25="BR",'P2O5 SLUR-2 With Formulas'!I25="sludge"),0.7,'Formula Sheet'!J5)</f>
        <v>0</v>
      </c>
      <c r="J5">
        <f>IF(AND('P2O5 SLUR-2 With Formulas'!S9="Swine",'P2O5 SLUR-2 With Formulas'!H25="SI",'P2O5 SLUR-2 With Formulas'!I25="sludge"),0.8,'Formula Sheet'!K5)</f>
        <v>0</v>
      </c>
      <c r="K5">
        <f>IF(AND('P2O5 SLUR-2 With Formulas'!S9="Swine",'P2O5 SLUR-2 With Formulas'!H25="IN",'P2O5 SLUR-2 With Formulas'!I25="sludge"),0.8,'Formula Sheet'!L5)</f>
        <v>0</v>
      </c>
      <c r="L5">
        <f>IF(AND('P2O5 SLUR-2 With Formulas'!S9="Poultry",'P2O5 SLUR-2 With Formulas'!H25="SI",'P2O5 SLUR-2 With Formulas'!I25="sludge"),0.8,'Formula Sheet'!M5)</f>
        <v>0</v>
      </c>
      <c r="M5">
        <f>IF(AND('P2O5 SLUR-2 With Formulas'!S9="Poultry",'P2O5 SLUR-2 With Formulas'!H25="BR",'P2O5 SLUR-2 With Formulas'!I25="sludge"),0.7,'Formula Sheet'!N5)</f>
        <v>0</v>
      </c>
      <c r="N5">
        <f>IF(AND('P2O5 SLUR-2 With Formulas'!S9="Poultry",'P2O5 SLUR-2 With Formulas'!H25="IN",'P2O5 SLUR-2 With Formulas'!I25="sludge"),0.7,'Formula Sheet'!O5)</f>
        <v>0</v>
      </c>
      <c r="O5">
        <f>IF(AND('P2O5 SLUR-2 With Formulas'!S9="Poultry",'P2O5 SLUR-2 With Formulas'!H25="IN",'P2O5 SLUR-2 With Formulas'!I25="slurry"),0.8,'Formula Sheet'!P5)</f>
        <v>0</v>
      </c>
      <c r="P5">
        <f>IF(AND('P2O5 SLUR-2 With Formulas'!S9="Poultry",'P2O5 SLUR-2 With Formulas'!H25="BR",'P2O5 SLUR-2 With Formulas'!I25="slurry"),0.7,'Formula Sheet'!Q5)</f>
        <v>0</v>
      </c>
      <c r="Q5">
        <f>IF(AND('P2O5 SLUR-2 With Formulas'!S9="Poultry",'P2O5 SLUR-2 With Formulas'!H25="SI",'P2O5 SLUR-2 With Formulas'!I25="slurry"),0.8,'Formula Sheet'!R5)</f>
        <v>0</v>
      </c>
      <c r="R5">
        <f>IF(AND('P2O5 SLUR-2 With Formulas'!S9="Poultry",'P2O5 SLUR-2 With Formulas'!H25="SI",'P2O5 SLUR-2 With Formulas'!I25="liquid"),0.8,'Formula Sheet'!S5)</f>
        <v>0</v>
      </c>
      <c r="S5">
        <f>IF(AND('P2O5 SLUR-2 With Formulas'!S9="Poultry",'P2O5 SLUR-2 With Formulas'!H25="BR",'P2O5 SLUR-2 With Formulas'!I25="liquid"),0.7,'Formula Sheet'!T5)</f>
        <v>0</v>
      </c>
      <c r="T5">
        <f>IF(AND('P2O5 SLUR-2 With Formulas'!S9="Poultry",'P2O5 SLUR-2 With Formulas'!H25="IN",'P2O5 SLUR-2 With Formulas'!I25="liquid"),0.8,'Formula Sheet'!U5)</f>
        <v>0</v>
      </c>
      <c r="U5">
        <f>IF(AND('P2O5 SLUR-2 With Formulas'!S9="Dairy",'P2O5 SLUR-2 With Formulas'!H25="IN",'P2O5 SLUR-2 With Formulas'!I25="slurry"),0.8,'Formula Sheet'!V5)</f>
        <v>0</v>
      </c>
      <c r="V5">
        <f>IF(AND('P2O5 SLUR-2 With Formulas'!S9="Dairy",'P2O5 SLUR-2 With Formulas'!H25="BR",'P2O5 SLUR-2 With Formulas'!I25="slurry"),0.7,'Formula Sheet'!W5)</f>
        <v>0</v>
      </c>
      <c r="W5">
        <f>IF(AND('P2O5 SLUR-2 With Formulas'!S9="Dairy",'P2O5 SLUR-2 With Formulas'!H25="SI",'P2O5 SLUR-2 With Formulas'!I25="slurry"),0.8,'Formula Sheet'!X5)</f>
        <v>0</v>
      </c>
      <c r="X5">
        <f>IF(AND('P2O5 SLUR-2 With Formulas'!S9="Dairy",'P2O5 SLUR-2 With Formulas'!H25="BR",'P2O5 SLUR-2 With Formulas'!I25="DMSSSP"),0.6,'Formula Sheet'!Y5)</f>
        <v>0</v>
      </c>
      <c r="Y5">
        <f>IF(AND('P2O5 SLUR-2 With Formulas'!S9="Dairy",'P2O5 SLUR-2 With Formulas'!H25="SI",'P2O5 SLUR-2 With Formulas'!I25="DMSSSP"),0.75,'Formula Sheet'!Z5)</f>
        <v>0</v>
      </c>
    </row>
    <row r="6" spans="1:25" ht="12.75">
      <c r="A6">
        <f>IF('P2O5 IRR-2 With Formulas'!E28&lt;0,1440,0)</f>
        <v>0</v>
      </c>
      <c r="C6">
        <f>IF(AND('P2O5 SLUR-2 With Formulas'!S9="Swine",'P2O5 SLUR-2 With Formulas'!H26="BR",'P2O5 SLUR-2 With Formulas'!I26="liquid"),0.7,'Formula Sheet'!D6)</f>
        <v>0</v>
      </c>
      <c r="D6">
        <f>IF(AND('P2O5 SLUR-2 With Formulas'!S9="Swine",'P2O5 SLUR-2 With Formulas'!H26="IN",'P2O5 SLUR-2 With Formulas'!I26="liquid"),0.8,'Formula Sheet'!E6)</f>
        <v>0</v>
      </c>
      <c r="E6">
        <f>IF(AND('P2O5 SLUR-2 With Formulas'!S9="Swine",'P2O5 SLUR-2 With Formulas'!I26="IN",'P2O5 SLUR-2 With Formulas'!J26="liquid"),0.8,'Formula Sheet'!F6)</f>
        <v>0</v>
      </c>
      <c r="F6">
        <f>IF(AND('P2O5 SLUR-2 With Formulas'!S9="Swine",'P2O5 SLUR-2 With Formulas'!H26="IN",'P2O5 SLUR-2 With Formulas'!I26="slurry"),0.8,'Formula Sheet'!G6)</f>
        <v>0</v>
      </c>
      <c r="G6">
        <f>IF(AND('P2O5 SLUR-2 With Formulas'!S9="Swine",'P2O5 SLUR-2 With Formulas'!H26="SI",'P2O5 SLUR-2 With Formulas'!I26="slurry"),0.8,'Formula Sheet'!H6)</f>
        <v>0</v>
      </c>
      <c r="H6">
        <f>IF(AND('P2O5 SLUR-2 With Formulas'!S9="Swine",'P2O5 SLUR-2 With Formulas'!H26="BR",'P2O5 SLUR-2 With Formulas'!I26="slurry"),0.7,'Formula Sheet'!I6)</f>
        <v>0</v>
      </c>
      <c r="I6">
        <f>IF(AND('P2O5 SLUR-2 With Formulas'!S9="Swine",'P2O5 SLUR-2 With Formulas'!H26="BR",'P2O5 SLUR-2 With Formulas'!I26="sludge"),0.7,'Formula Sheet'!J6)</f>
        <v>0</v>
      </c>
      <c r="J6">
        <f>IF(AND('P2O5 SLUR-2 With Formulas'!S9="Swine",'P2O5 SLUR-2 With Formulas'!H26="SI",'P2O5 SLUR-2 With Formulas'!I26="sludge"),0.8,'Formula Sheet'!K6)</f>
        <v>0</v>
      </c>
      <c r="K6">
        <f>IF(AND('P2O5 SLUR-2 With Formulas'!S9="Swine",'P2O5 SLUR-2 With Formulas'!H26="IN",'P2O5 SLUR-2 With Formulas'!I26="sludge"),0.8,'Formula Sheet'!L6)</f>
        <v>0</v>
      </c>
      <c r="L6">
        <f>IF(AND('P2O5 SLUR-2 With Formulas'!S9="Poultry",'P2O5 SLUR-2 With Formulas'!H26="SI",'P2O5 SLUR-2 With Formulas'!I26="sludge"),0.8,'Formula Sheet'!M6)</f>
        <v>0</v>
      </c>
      <c r="M6">
        <f>IF(AND('P2O5 SLUR-2 With Formulas'!S9="Poultry",'P2O5 SLUR-2 With Formulas'!H26="BR",'P2O5 SLUR-2 With Formulas'!I26="sludge"),0.7,'Formula Sheet'!N6)</f>
        <v>0</v>
      </c>
      <c r="N6">
        <f>IF(AND('P2O5 SLUR-2 With Formulas'!S9="Poultry",'P2O5 SLUR-2 With Formulas'!H26="IN",'P2O5 SLUR-2 With Formulas'!I26="sludge"),0.7,'Formula Sheet'!O6)</f>
        <v>0</v>
      </c>
      <c r="O6">
        <f>IF(AND('P2O5 SLUR-2 With Formulas'!S9="Poultry",'P2O5 SLUR-2 With Formulas'!H26="IN",'P2O5 SLUR-2 With Formulas'!I26="slurry"),0.8,'Formula Sheet'!P6)</f>
        <v>0</v>
      </c>
      <c r="P6">
        <f>IF(AND('P2O5 SLUR-2 With Formulas'!S9="Poultry",'P2O5 SLUR-2 With Formulas'!H26="BR",'P2O5 SLUR-2 With Formulas'!I26="slurry"),0.7,'Formula Sheet'!Q6)</f>
        <v>0</v>
      </c>
      <c r="Q6">
        <f>IF(AND('P2O5 SLUR-2 With Formulas'!S9="Poultry",'P2O5 SLUR-2 With Formulas'!H26="SI",'P2O5 SLUR-2 With Formulas'!I26="slurry"),0.8,'Formula Sheet'!R6)</f>
        <v>0</v>
      </c>
      <c r="R6">
        <f>IF(AND('P2O5 SLUR-2 With Formulas'!S9="Poultry",'P2O5 SLUR-2 With Formulas'!H26="SI",'P2O5 SLUR-2 With Formulas'!I26="liquid"),0.8,'Formula Sheet'!S6)</f>
        <v>0</v>
      </c>
      <c r="S6">
        <f>IF(AND('P2O5 SLUR-2 With Formulas'!S9="Poultry",'P2O5 SLUR-2 With Formulas'!H26="BR",'P2O5 SLUR-2 With Formulas'!I26="liquid"),0.7,'Formula Sheet'!T6)</f>
        <v>0</v>
      </c>
      <c r="T6">
        <f>IF(AND('P2O5 SLUR-2 With Formulas'!S9="Poultry",'P2O5 SLUR-2 With Formulas'!H26="IN",'P2O5 SLUR-2 With Formulas'!I26="liquid"),0.8,'Formula Sheet'!U6)</f>
        <v>0</v>
      </c>
      <c r="U6">
        <f>IF(AND('P2O5 SLUR-2 With Formulas'!S9="Dairy",'P2O5 SLUR-2 With Formulas'!H26="IN",'P2O5 SLUR-2 With Formulas'!I26="slurry"),0.8,'Formula Sheet'!V6)</f>
        <v>0</v>
      </c>
      <c r="V6">
        <f>IF(AND('P2O5 SLUR-2 With Formulas'!S9="Dairy",'P2O5 SLUR-2 With Formulas'!H26="BR",'P2O5 SLUR-2 With Formulas'!I26="slurry"),0.7,'Formula Sheet'!W6)</f>
        <v>0</v>
      </c>
      <c r="W6">
        <f>IF(AND('P2O5 SLUR-2 With Formulas'!S9="Dairy",'P2O5 SLUR-2 With Formulas'!H26="SI",'P2O5 SLUR-2 With Formulas'!I26="slurry"),0.8,'Formula Sheet'!X6)</f>
        <v>0</v>
      </c>
      <c r="X6">
        <f>IF(AND('P2O5 SLUR-2 With Formulas'!S9="Dairy",'P2O5 SLUR-2 With Formulas'!H26="BR",'P2O5 SLUR-2 With Formulas'!I26="DMSSSP"),0.6,'Formula Sheet'!Y6)</f>
        <v>0</v>
      </c>
      <c r="Y6">
        <f>IF(AND('P2O5 SLUR-2 With Formulas'!S9="Dairy",'P2O5 SLUR-2 With Formulas'!H26="SI",'P2O5 SLUR-2 With Formulas'!I26="DMSSSP"),0.75,'Formula Sheet'!Z6)</f>
        <v>0</v>
      </c>
    </row>
    <row r="7" spans="1:25" ht="12.75">
      <c r="A7">
        <f>IF('P2O5 IRR-2 With Formulas'!E29&lt;0,1440,0)</f>
        <v>0</v>
      </c>
      <c r="C7">
        <f>IF(AND('P2O5 SLUR-2 With Formulas'!S9="Swine",'P2O5 SLUR-2 With Formulas'!H27="BR",'P2O5 SLUR-2 With Formulas'!I27="liquid"),0.7,'Formula Sheet'!D7)</f>
        <v>0</v>
      </c>
      <c r="D7">
        <f>IF(AND('P2O5 SLUR-2 With Formulas'!S9="Swine",'P2O5 SLUR-2 With Formulas'!H27="IN",'P2O5 SLUR-2 With Formulas'!I27="liquid"),0.8,'Formula Sheet'!E7)</f>
        <v>0</v>
      </c>
      <c r="E7">
        <f>IF(AND('P2O5 SLUR-2 With Formulas'!S9="Swine",'P2O5 SLUR-2 With Formulas'!I27="IN",'P2O5 SLUR-2 With Formulas'!J27="liquid"),0.8,'Formula Sheet'!F7)</f>
        <v>0</v>
      </c>
      <c r="F7">
        <f>IF(AND('P2O5 SLUR-2 With Formulas'!S9="Swine",'P2O5 SLUR-2 With Formulas'!H27="IN",'P2O5 SLUR-2 With Formulas'!I27="slurry"),0.8,'Formula Sheet'!G7)</f>
        <v>0</v>
      </c>
      <c r="G7">
        <f>IF(AND('P2O5 SLUR-2 With Formulas'!S9="Swine",'P2O5 SLUR-2 With Formulas'!H27="SI",'P2O5 SLUR-2 With Formulas'!I27="slurry"),0.8,'Formula Sheet'!H7)</f>
        <v>0</v>
      </c>
      <c r="H7">
        <f>IF(AND('P2O5 SLUR-2 With Formulas'!S9="Swine",'P2O5 SLUR-2 With Formulas'!H27="BR",'P2O5 SLUR-2 With Formulas'!I27="slurry"),0.7,'Formula Sheet'!I7)</f>
        <v>0</v>
      </c>
      <c r="I7">
        <f>IF(AND('P2O5 SLUR-2 With Formulas'!S9="Swine",'P2O5 SLUR-2 With Formulas'!H27="BR",'P2O5 SLUR-2 With Formulas'!I27="sludge"),0.7,'Formula Sheet'!J7)</f>
        <v>0</v>
      </c>
      <c r="J7">
        <f>IF(AND('P2O5 SLUR-2 With Formulas'!S9="Swine",'P2O5 SLUR-2 With Formulas'!H27="SI",'P2O5 SLUR-2 With Formulas'!I27="sludge"),0.8,'Formula Sheet'!K7)</f>
        <v>0</v>
      </c>
      <c r="K7">
        <f>IF(AND('P2O5 SLUR-2 With Formulas'!S9="Swine",'P2O5 SLUR-2 With Formulas'!H27="IN",'P2O5 SLUR-2 With Formulas'!I27="sludge"),0.8,'Formula Sheet'!L7)</f>
        <v>0</v>
      </c>
      <c r="L7">
        <f>IF(AND('P2O5 SLUR-2 With Formulas'!S9="Poultry",'P2O5 SLUR-2 With Formulas'!H27="SI",'P2O5 SLUR-2 With Formulas'!I27="sludge"),0.8,'Formula Sheet'!M7)</f>
        <v>0</v>
      </c>
      <c r="M7">
        <f>IF(AND('P2O5 SLUR-2 With Formulas'!S9="Poultry",'P2O5 SLUR-2 With Formulas'!H27="BR",'P2O5 SLUR-2 With Formulas'!I27="sludge"),0.7,'Formula Sheet'!N7)</f>
        <v>0</v>
      </c>
      <c r="N7">
        <f>IF(AND('P2O5 SLUR-2 With Formulas'!S9="Poultry",'P2O5 SLUR-2 With Formulas'!H27="IN",'P2O5 SLUR-2 With Formulas'!I27="sludge"),0.7,'Formula Sheet'!O7)</f>
        <v>0</v>
      </c>
      <c r="O7">
        <f>IF(AND('P2O5 SLUR-2 With Formulas'!S9="Poultry",'P2O5 SLUR-2 With Formulas'!H27="IN",'P2O5 SLUR-2 With Formulas'!I27="slurry"),0.8,'Formula Sheet'!P7)</f>
        <v>0</v>
      </c>
      <c r="P7">
        <f>IF(AND('P2O5 SLUR-2 With Formulas'!S9="Poultry",'P2O5 SLUR-2 With Formulas'!H27="BR",'P2O5 SLUR-2 With Formulas'!I27="slurry"),0.7,'Formula Sheet'!Q7)</f>
        <v>0</v>
      </c>
      <c r="Q7">
        <f>IF(AND('P2O5 SLUR-2 With Formulas'!S9="Poultry",'P2O5 SLUR-2 With Formulas'!H27="SI",'P2O5 SLUR-2 With Formulas'!I27="slurry"),0.8,'Formula Sheet'!R7)</f>
        <v>0</v>
      </c>
      <c r="R7">
        <f>IF(AND('P2O5 SLUR-2 With Formulas'!S9="Poultry",'P2O5 SLUR-2 With Formulas'!H27="SI",'P2O5 SLUR-2 With Formulas'!I27="liquid"),0.8,'Formula Sheet'!S7)</f>
        <v>0</v>
      </c>
      <c r="S7">
        <f>IF(AND('P2O5 SLUR-2 With Formulas'!S9="Poultry",'P2O5 SLUR-2 With Formulas'!H27="BR",'P2O5 SLUR-2 With Formulas'!I27="liquid"),0.7,'Formula Sheet'!T7)</f>
        <v>0</v>
      </c>
      <c r="T7">
        <f>IF(AND('P2O5 SLUR-2 With Formulas'!S9="Poultry",'P2O5 SLUR-2 With Formulas'!H27="IN",'P2O5 SLUR-2 With Formulas'!I27="liquid"),0.8,'Formula Sheet'!U7)</f>
        <v>0</v>
      </c>
      <c r="U7">
        <f>IF(AND('P2O5 SLUR-2 With Formulas'!S9="Dairy",'P2O5 SLUR-2 With Formulas'!H27="IN",'P2O5 SLUR-2 With Formulas'!I27="slurry"),0.8,'Formula Sheet'!V7)</f>
        <v>0</v>
      </c>
      <c r="V7">
        <f>IF(AND('P2O5 SLUR-2 With Formulas'!S9="Dairy",'P2O5 SLUR-2 With Formulas'!H27="BR",'P2O5 SLUR-2 With Formulas'!I27="slurry"),0.7,'Formula Sheet'!W7)</f>
        <v>0</v>
      </c>
      <c r="W7">
        <f>IF(AND('P2O5 SLUR-2 With Formulas'!S9="Dairy",'P2O5 SLUR-2 With Formulas'!H27="SI",'P2O5 SLUR-2 With Formulas'!I27="slurry"),0.8,'Formula Sheet'!X7)</f>
        <v>0</v>
      </c>
      <c r="X7">
        <f>IF(AND('P2O5 SLUR-2 With Formulas'!S9="Dairy",'P2O5 SLUR-2 With Formulas'!H27="BR",'P2O5 SLUR-2 With Formulas'!I27="DMSSSP"),0.6,'Formula Sheet'!Y7)</f>
        <v>0</v>
      </c>
      <c r="Y7">
        <f>IF(AND('P2O5 SLUR-2 With Formulas'!S9="Dairy",'P2O5 SLUR-2 With Formulas'!H27="SI",'P2O5 SLUR-2 With Formulas'!I27="DMSSSP"),0.75,'Formula Sheet'!Z7)</f>
        <v>0</v>
      </c>
    </row>
    <row r="8" spans="1:25" ht="12.75">
      <c r="A8">
        <f>IF('P2O5 IRR-2 With Formulas'!E30&lt;0,1440,0)</f>
        <v>0</v>
      </c>
      <c r="C8">
        <f>IF(AND('P2O5 SLUR-2 With Formulas'!S9="Swine",'P2O5 SLUR-2 With Formulas'!H28="BR",'P2O5 SLUR-2 With Formulas'!I28="liquid"),0.7,'Formula Sheet'!D8)</f>
        <v>0</v>
      </c>
      <c r="D8">
        <f>IF(AND('P2O5 SLUR-2 With Formulas'!S9="Swine",'P2O5 SLUR-2 With Formulas'!H28="IN",'P2O5 SLUR-2 With Formulas'!I28="liquid"),0.8,'Formula Sheet'!E8)</f>
        <v>0</v>
      </c>
      <c r="E8">
        <f>IF(AND('P2O5 SLUR-2 With Formulas'!S9="Swine",'P2O5 SLUR-2 With Formulas'!I28="IN",'P2O5 SLUR-2 With Formulas'!J28="liquid"),0.8,'Formula Sheet'!F8)</f>
        <v>0</v>
      </c>
      <c r="F8">
        <f>IF(AND('P2O5 SLUR-2 With Formulas'!S9="Swine",'P2O5 SLUR-2 With Formulas'!H28="IN",'P2O5 SLUR-2 With Formulas'!I28="slurry"),0.8,'Formula Sheet'!G8)</f>
        <v>0</v>
      </c>
      <c r="G8">
        <f>IF(AND('P2O5 SLUR-2 With Formulas'!S9="Swine",'P2O5 SLUR-2 With Formulas'!H28="SI",'P2O5 SLUR-2 With Formulas'!I28="slurry"),0.8,'Formula Sheet'!H8)</f>
        <v>0</v>
      </c>
      <c r="H8">
        <f>IF(AND('P2O5 SLUR-2 With Formulas'!S9="Swine",'P2O5 SLUR-2 With Formulas'!H28="BR",'P2O5 SLUR-2 With Formulas'!I28="slurry"),0.7,'Formula Sheet'!I8)</f>
        <v>0</v>
      </c>
      <c r="I8">
        <f>IF(AND('P2O5 SLUR-2 With Formulas'!S9="Swine",'P2O5 SLUR-2 With Formulas'!H28="BR",'P2O5 SLUR-2 With Formulas'!I28="sludge"),0.7,'Formula Sheet'!J8)</f>
        <v>0</v>
      </c>
      <c r="J8">
        <f>IF(AND('P2O5 SLUR-2 With Formulas'!S9="Swine",'P2O5 SLUR-2 With Formulas'!H28="SI",'P2O5 SLUR-2 With Formulas'!I28="sludge"),0.8,'Formula Sheet'!K8)</f>
        <v>0</v>
      </c>
      <c r="K8">
        <f>IF(AND('P2O5 SLUR-2 With Formulas'!S9="Swine",'P2O5 SLUR-2 With Formulas'!H28="IN",'P2O5 SLUR-2 With Formulas'!I28="sludge"),0.8,'Formula Sheet'!L8)</f>
        <v>0</v>
      </c>
      <c r="L8">
        <f>IF(AND('P2O5 SLUR-2 With Formulas'!S9="Poultry",'P2O5 SLUR-2 With Formulas'!H28="SI",'P2O5 SLUR-2 With Formulas'!I28="sludge"),0.8,'Formula Sheet'!M8)</f>
        <v>0</v>
      </c>
      <c r="M8">
        <f>IF(AND('P2O5 SLUR-2 With Formulas'!S9="Poultry",'P2O5 SLUR-2 With Formulas'!H28="BR",'P2O5 SLUR-2 With Formulas'!I28="sludge"),0.7,'Formula Sheet'!N8)</f>
        <v>0</v>
      </c>
      <c r="N8">
        <f>IF(AND('P2O5 SLUR-2 With Formulas'!S9="Poultry",'P2O5 SLUR-2 With Formulas'!H28="IN",'P2O5 SLUR-2 With Formulas'!I28="sludge"),0.7,'Formula Sheet'!O8)</f>
        <v>0</v>
      </c>
      <c r="O8">
        <f>IF(AND('P2O5 SLUR-2 With Formulas'!S9="Poultry",'P2O5 SLUR-2 With Formulas'!H28="IN",'P2O5 SLUR-2 With Formulas'!I28="slurry"),0.8,'Formula Sheet'!P8)</f>
        <v>0</v>
      </c>
      <c r="P8">
        <f>IF(AND('P2O5 SLUR-2 With Formulas'!S9="Poultry",'P2O5 SLUR-2 With Formulas'!H28="BR",'P2O5 SLUR-2 With Formulas'!I28="slurry"),0.7,'Formula Sheet'!Q8)</f>
        <v>0</v>
      </c>
      <c r="Q8">
        <f>IF(AND('P2O5 SLUR-2 With Formulas'!S9="Poultry",'P2O5 SLUR-2 With Formulas'!H28="SI",'P2O5 SLUR-2 With Formulas'!I28="slurry"),0.8,'Formula Sheet'!R8)</f>
        <v>0</v>
      </c>
      <c r="R8">
        <f>IF(AND('P2O5 SLUR-2 With Formulas'!S9="Poultry",'P2O5 SLUR-2 With Formulas'!H28="SI",'P2O5 SLUR-2 With Formulas'!I28="liquid"),0.8,'Formula Sheet'!S8)</f>
        <v>0</v>
      </c>
      <c r="S8">
        <f>IF(AND('P2O5 SLUR-2 With Formulas'!S9="Poultry",'P2O5 SLUR-2 With Formulas'!H28="BR",'P2O5 SLUR-2 With Formulas'!I28="liquid"),0.7,'Formula Sheet'!T8)</f>
        <v>0</v>
      </c>
      <c r="T8">
        <f>IF(AND('P2O5 SLUR-2 With Formulas'!S9="Poultry",'P2O5 SLUR-2 With Formulas'!H28="IN",'P2O5 SLUR-2 With Formulas'!I28="liquid"),0.8,'Formula Sheet'!U8)</f>
        <v>0</v>
      </c>
      <c r="U8">
        <f>IF(AND('P2O5 SLUR-2 With Formulas'!S9="Dairy",'P2O5 SLUR-2 With Formulas'!H28="IN",'P2O5 SLUR-2 With Formulas'!I28="slurry"),0.8,'Formula Sheet'!V8)</f>
        <v>0</v>
      </c>
      <c r="V8">
        <f>IF(AND('P2O5 SLUR-2 With Formulas'!S9="Dairy",'P2O5 SLUR-2 With Formulas'!H28="BR",'P2O5 SLUR-2 With Formulas'!I28="slurry"),0.7,'Formula Sheet'!W8)</f>
        <v>0</v>
      </c>
      <c r="W8">
        <f>IF(AND('P2O5 SLUR-2 With Formulas'!S9="Dairy",'P2O5 SLUR-2 With Formulas'!H28="SI",'P2O5 SLUR-2 With Formulas'!I28="slurry"),0.8,'Formula Sheet'!X8)</f>
        <v>0</v>
      </c>
      <c r="X8">
        <f>IF(AND('P2O5 SLUR-2 With Formulas'!S9="Dairy",'P2O5 SLUR-2 With Formulas'!H28="BR",'P2O5 SLUR-2 With Formulas'!I28="DMSSSP"),0.6,'Formula Sheet'!Y8)</f>
        <v>0</v>
      </c>
      <c r="Y8">
        <f>IF(AND('P2O5 SLUR-2 With Formulas'!S9="Dairy",'P2O5 SLUR-2 With Formulas'!H28="SI",'P2O5 SLUR-2 With Formulas'!I28="DMSSSP"),0.75,'Formula Sheet'!Z8)</f>
        <v>0</v>
      </c>
    </row>
    <row r="9" spans="1:25" ht="12.75">
      <c r="A9">
        <f>IF('P2O5 IRR-2 With Formulas'!E31&lt;0,1440,0)</f>
        <v>0</v>
      </c>
      <c r="C9">
        <f>IF(AND('P2O5 SLUR-2 With Formulas'!S9="Swine",'P2O5 SLUR-2 With Formulas'!H29="BR",'P2O5 SLUR-2 With Formulas'!I29="liquid"),0.7,'Formula Sheet'!D9)</f>
        <v>0</v>
      </c>
      <c r="D9">
        <f>IF(AND('P2O5 SLUR-2 With Formulas'!S9="Swine",'P2O5 SLUR-2 With Formulas'!H29="IN",'P2O5 SLUR-2 With Formulas'!I29="liquid"),0.8,'Formula Sheet'!E9)</f>
        <v>0</v>
      </c>
      <c r="E9">
        <f>IF(AND('P2O5 SLUR-2 With Formulas'!S9="Swine",'P2O5 SLUR-2 With Formulas'!I29="IN",'P2O5 SLUR-2 With Formulas'!J29="liquid"),0.8,'Formula Sheet'!F9)</f>
        <v>0</v>
      </c>
      <c r="F9">
        <f>IF(AND('P2O5 SLUR-2 With Formulas'!S9="Swine",'P2O5 SLUR-2 With Formulas'!H29="IN",'P2O5 SLUR-2 With Formulas'!I29="slurry"),0.8,'Formula Sheet'!G9)</f>
        <v>0</v>
      </c>
      <c r="G9">
        <f>IF(AND('P2O5 SLUR-2 With Formulas'!S9="Swine",'P2O5 SLUR-2 With Formulas'!H29="SI",'P2O5 SLUR-2 With Formulas'!I29="slurry"),0.8,'Formula Sheet'!H9)</f>
        <v>0</v>
      </c>
      <c r="H9">
        <f>IF(AND('P2O5 SLUR-2 With Formulas'!S9="Swine",'P2O5 SLUR-2 With Formulas'!H29="BR",'P2O5 SLUR-2 With Formulas'!I29="slurry"),0.7,'Formula Sheet'!I9)</f>
        <v>0</v>
      </c>
      <c r="I9">
        <f>IF(AND('P2O5 SLUR-2 With Formulas'!S9="Swine",'P2O5 SLUR-2 With Formulas'!H29="BR",'P2O5 SLUR-2 With Formulas'!I29="sludge"),0.7,'Formula Sheet'!J9)</f>
        <v>0</v>
      </c>
      <c r="J9">
        <f>IF(AND('P2O5 SLUR-2 With Formulas'!S9="Swine",'P2O5 SLUR-2 With Formulas'!H29="SI",'P2O5 SLUR-2 With Formulas'!I29="sludge"),0.8,'Formula Sheet'!K9)</f>
        <v>0</v>
      </c>
      <c r="K9">
        <f>IF(AND('P2O5 SLUR-2 With Formulas'!S9="Swine",'P2O5 SLUR-2 With Formulas'!H29="IN",'P2O5 SLUR-2 With Formulas'!I29="sludge"),0.8,'Formula Sheet'!L9)</f>
        <v>0</v>
      </c>
      <c r="L9">
        <f>IF(AND('P2O5 SLUR-2 With Formulas'!S9="Poultry",'P2O5 SLUR-2 With Formulas'!H29="SI",'P2O5 SLUR-2 With Formulas'!I29="sludge"),0.8,'Formula Sheet'!M9)</f>
        <v>0</v>
      </c>
      <c r="M9">
        <f>IF(AND('P2O5 SLUR-2 With Formulas'!S9="Poultry",'P2O5 SLUR-2 With Formulas'!H29="BR",'P2O5 SLUR-2 With Formulas'!I29="sludge"),0.7,'Formula Sheet'!N9)</f>
        <v>0</v>
      </c>
      <c r="N9">
        <f>IF(AND('P2O5 SLUR-2 With Formulas'!S9="Poultry",'P2O5 SLUR-2 With Formulas'!H29="IN",'P2O5 SLUR-2 With Formulas'!I29="sludge"),0.7,'Formula Sheet'!O9)</f>
        <v>0</v>
      </c>
      <c r="O9">
        <f>IF(AND('P2O5 SLUR-2 With Formulas'!S9="Poultry",'P2O5 SLUR-2 With Formulas'!H29="IN",'P2O5 SLUR-2 With Formulas'!I29="slurry"),0.8,'Formula Sheet'!P9)</f>
        <v>0</v>
      </c>
      <c r="P9">
        <f>IF(AND('P2O5 SLUR-2 With Formulas'!S9="Poultry",'P2O5 SLUR-2 With Formulas'!H29="BR",'P2O5 SLUR-2 With Formulas'!I29="slurry"),0.7,'Formula Sheet'!Q9)</f>
        <v>0</v>
      </c>
      <c r="Q9">
        <f>IF(AND('P2O5 SLUR-2 With Formulas'!S9="Poultry",'P2O5 SLUR-2 With Formulas'!H29="SI",'P2O5 SLUR-2 With Formulas'!I29="slurry"),0.8,'Formula Sheet'!R9)</f>
        <v>0</v>
      </c>
      <c r="R9">
        <f>IF(AND('P2O5 SLUR-2 With Formulas'!S9="Poultry",'P2O5 SLUR-2 With Formulas'!H29="SI",'P2O5 SLUR-2 With Formulas'!I29="liquid"),0.8,'Formula Sheet'!S9)</f>
        <v>0</v>
      </c>
      <c r="S9">
        <f>IF(AND('P2O5 SLUR-2 With Formulas'!S9="Poultry",'P2O5 SLUR-2 With Formulas'!H29="BR",'P2O5 SLUR-2 With Formulas'!I29="liquid"),0.7,'Formula Sheet'!T9)</f>
        <v>0</v>
      </c>
      <c r="T9">
        <f>IF(AND('P2O5 SLUR-2 With Formulas'!S9="Poultry",'P2O5 SLUR-2 With Formulas'!H29="IN",'P2O5 SLUR-2 With Formulas'!I29="liquid"),0.8,'Formula Sheet'!U9)</f>
        <v>0</v>
      </c>
      <c r="U9">
        <f>IF(AND('P2O5 SLUR-2 With Formulas'!S9="Dairy",'P2O5 SLUR-2 With Formulas'!H29="IN",'P2O5 SLUR-2 With Formulas'!I29="slurry"),0.8,'Formula Sheet'!V9)</f>
        <v>0</v>
      </c>
      <c r="V9">
        <f>IF(AND('P2O5 SLUR-2 With Formulas'!S9="Dairy",'P2O5 SLUR-2 With Formulas'!H29="BR",'P2O5 SLUR-2 With Formulas'!I29="slurry"),0.7,'Formula Sheet'!W9)</f>
        <v>0</v>
      </c>
      <c r="W9">
        <f>IF(AND('P2O5 SLUR-2 With Formulas'!S9="Dairy",'P2O5 SLUR-2 With Formulas'!H29="SI",'P2O5 SLUR-2 With Formulas'!I29="slurry"),0.8,'Formula Sheet'!X9)</f>
        <v>0</v>
      </c>
      <c r="X9">
        <f>IF(AND('P2O5 SLUR-2 With Formulas'!S9="Dairy",'P2O5 SLUR-2 With Formulas'!H29="BR",'P2O5 SLUR-2 With Formulas'!I29="DMSSSP"),0.6,'Formula Sheet'!Y9)</f>
        <v>0</v>
      </c>
      <c r="Y9">
        <f>IF(AND('P2O5 SLUR-2 With Formulas'!S9="Dairy",'P2O5 SLUR-2 With Formulas'!H29="SI",'P2O5 SLUR-2 With Formulas'!I29="DMSSSP"),0.75,'Formula Sheet'!Z9)</f>
        <v>0</v>
      </c>
    </row>
    <row r="10" spans="1:25" ht="12.75">
      <c r="A10">
        <f>IF('P2O5 IRR-2 With Formulas'!E32&lt;0,1440,0)</f>
        <v>0</v>
      </c>
      <c r="C10">
        <f>IF(AND('P2O5 SLUR-2 With Formulas'!S9="Swine",'P2O5 SLUR-2 With Formulas'!H30="BR",'P2O5 SLUR-2 With Formulas'!I30="liquid"),0.7,'Formula Sheet'!D10)</f>
        <v>0</v>
      </c>
      <c r="D10">
        <f>IF(AND('P2O5 SLUR-2 With Formulas'!S9="Swine",'P2O5 SLUR-2 With Formulas'!H30="IN",'P2O5 SLUR-2 With Formulas'!I30="liquid"),0.8,'Formula Sheet'!E10)</f>
        <v>0</v>
      </c>
      <c r="E10">
        <f>IF(AND('P2O5 SLUR-2 With Formulas'!S9="Swine",'P2O5 SLUR-2 With Formulas'!I30="IN",'P2O5 SLUR-2 With Formulas'!J30="liquid"),0.8,'Formula Sheet'!F10)</f>
        <v>0</v>
      </c>
      <c r="F10">
        <f>IF(AND('P2O5 SLUR-2 With Formulas'!S9="Swine",'P2O5 SLUR-2 With Formulas'!H30="IN",'P2O5 SLUR-2 With Formulas'!I30="slurry"),0.8,'Formula Sheet'!G10)</f>
        <v>0</v>
      </c>
      <c r="G10">
        <f>IF(AND('P2O5 SLUR-2 With Formulas'!S9="Swine",'P2O5 SLUR-2 With Formulas'!H30="SI",'P2O5 SLUR-2 With Formulas'!I30="slurry"),0.8,'Formula Sheet'!H10)</f>
        <v>0</v>
      </c>
      <c r="H10">
        <f>IF(AND('P2O5 SLUR-2 With Formulas'!S9="Swine",'P2O5 SLUR-2 With Formulas'!H30="BR",'P2O5 SLUR-2 With Formulas'!I30="slurry"),0.7,'Formula Sheet'!I10)</f>
        <v>0</v>
      </c>
      <c r="I10">
        <f>IF(AND('P2O5 SLUR-2 With Formulas'!S9="Swine",'P2O5 SLUR-2 With Formulas'!H30="BR",'P2O5 SLUR-2 With Formulas'!I30="sludge"),0.7,'Formula Sheet'!J10)</f>
        <v>0</v>
      </c>
      <c r="J10">
        <f>IF(AND('P2O5 SLUR-2 With Formulas'!S9="Swine",'P2O5 SLUR-2 With Formulas'!H30="SI",'P2O5 SLUR-2 With Formulas'!I30="sludge"),0.8,'Formula Sheet'!K10)</f>
        <v>0</v>
      </c>
      <c r="K10">
        <f>IF(AND('P2O5 SLUR-2 With Formulas'!S9="Swine",'P2O5 SLUR-2 With Formulas'!H30="IN",'P2O5 SLUR-2 With Formulas'!I30="sludge"),0.8,'Formula Sheet'!L10)</f>
        <v>0</v>
      </c>
      <c r="L10">
        <f>IF(AND('P2O5 SLUR-2 With Formulas'!S9="Poultry",'P2O5 SLUR-2 With Formulas'!H30="SI",'P2O5 SLUR-2 With Formulas'!I30="sludge"),0.8,'Formula Sheet'!M10)</f>
        <v>0</v>
      </c>
      <c r="M10">
        <f>IF(AND('P2O5 SLUR-2 With Formulas'!S9="Poultry",'P2O5 SLUR-2 With Formulas'!H30="BR",'P2O5 SLUR-2 With Formulas'!I30="sludge"),0.7,'Formula Sheet'!N10)</f>
        <v>0</v>
      </c>
      <c r="N10">
        <f>IF(AND('P2O5 SLUR-2 With Formulas'!S9="Poultry",'P2O5 SLUR-2 With Formulas'!H30="IN",'P2O5 SLUR-2 With Formulas'!I30="sludge"),0.7,'Formula Sheet'!O10)</f>
        <v>0</v>
      </c>
      <c r="O10">
        <f>IF(AND('P2O5 SLUR-2 With Formulas'!S9="Poultry",'P2O5 SLUR-2 With Formulas'!H30="IN",'P2O5 SLUR-2 With Formulas'!I30="slurry"),0.8,'Formula Sheet'!P10)</f>
        <v>0</v>
      </c>
      <c r="P10">
        <f>IF(AND('P2O5 SLUR-2 With Formulas'!S9="Poultry",'P2O5 SLUR-2 With Formulas'!H30="BR",'P2O5 SLUR-2 With Formulas'!I30="slurry"),0.7,'Formula Sheet'!Q10)</f>
        <v>0</v>
      </c>
      <c r="Q10">
        <f>IF(AND('P2O5 SLUR-2 With Formulas'!S9="Poultry",'P2O5 SLUR-2 With Formulas'!H30="SI",'P2O5 SLUR-2 With Formulas'!I30="slurry"),0.8,'Formula Sheet'!R10)</f>
        <v>0</v>
      </c>
      <c r="R10">
        <f>IF(AND('P2O5 SLUR-2 With Formulas'!S9="Poultry",'P2O5 SLUR-2 With Formulas'!H30="SI",'P2O5 SLUR-2 With Formulas'!I30="liquid"),0.8,'Formula Sheet'!S10)</f>
        <v>0</v>
      </c>
      <c r="S10">
        <f>IF(AND('P2O5 SLUR-2 With Formulas'!S9="Poultry",'P2O5 SLUR-2 With Formulas'!H30="BR",'P2O5 SLUR-2 With Formulas'!I30="liquid"),0.7,'Formula Sheet'!T10)</f>
        <v>0</v>
      </c>
      <c r="T10">
        <f>IF(AND('P2O5 SLUR-2 With Formulas'!S9="Poultry",'P2O5 SLUR-2 With Formulas'!H30="IN",'P2O5 SLUR-2 With Formulas'!I30="liquid"),0.8,'Formula Sheet'!U10)</f>
        <v>0</v>
      </c>
      <c r="U10">
        <f>IF(AND('P2O5 SLUR-2 With Formulas'!S9="Dairy",'P2O5 SLUR-2 With Formulas'!H30="IN",'P2O5 SLUR-2 With Formulas'!I30="slurry"),0.8,'Formula Sheet'!V10)</f>
        <v>0</v>
      </c>
      <c r="V10">
        <f>IF(AND('P2O5 SLUR-2 With Formulas'!S9="Dairy",'P2O5 SLUR-2 With Formulas'!H30="BR",'P2O5 SLUR-2 With Formulas'!I30="slurry"),0.7,'Formula Sheet'!W10)</f>
        <v>0</v>
      </c>
      <c r="W10">
        <f>IF(AND('P2O5 SLUR-2 With Formulas'!S9="Dairy",'P2O5 SLUR-2 With Formulas'!H30="SI",'P2O5 SLUR-2 With Formulas'!I30="slurry"),0.8,'Formula Sheet'!X10)</f>
        <v>0</v>
      </c>
      <c r="X10">
        <f>IF(AND('P2O5 SLUR-2 With Formulas'!S9="Dairy",'P2O5 SLUR-2 With Formulas'!H30="BR",'P2O5 SLUR-2 With Formulas'!I30="DMSSSP"),0.6,'Formula Sheet'!Y10)</f>
        <v>0</v>
      </c>
      <c r="Y10">
        <f>IF(AND('P2O5 SLUR-2 With Formulas'!S9="Dairy",'P2O5 SLUR-2 With Formulas'!H30="SI",'P2O5 SLUR-2 With Formulas'!I30="DMSSSP"),0.75,'Formula Sheet'!Z10)</f>
        <v>0</v>
      </c>
    </row>
    <row r="11" spans="1:25" ht="12.75">
      <c r="A11">
        <f>IF('P2O5 IRR-2 With Formulas'!E33&lt;0,1440,0)</f>
        <v>0</v>
      </c>
      <c r="C11">
        <f>IF(AND('P2O5 SLUR-2 With Formulas'!S9="Swine",'P2O5 SLUR-2 With Formulas'!H31="BR",'P2O5 SLUR-2 With Formulas'!I31="liquid"),0.7,'Formula Sheet'!D11)</f>
        <v>0</v>
      </c>
      <c r="D11">
        <f>IF(AND('P2O5 SLUR-2 With Formulas'!S9="Swine",'P2O5 SLUR-2 With Formulas'!H31="IN",'P2O5 SLUR-2 With Formulas'!I31="liquid"),0.8,'Formula Sheet'!E11)</f>
        <v>0</v>
      </c>
      <c r="E11">
        <f>IF(AND('P2O5 SLUR-2 With Formulas'!S9="Swine",'P2O5 SLUR-2 With Formulas'!I31="IN",'P2O5 SLUR-2 With Formulas'!J31="liquid"),0.8,'Formula Sheet'!F11)</f>
        <v>0</v>
      </c>
      <c r="F11">
        <f>IF(AND('P2O5 SLUR-2 With Formulas'!S9="Swine",'P2O5 SLUR-2 With Formulas'!H31="IN",'P2O5 SLUR-2 With Formulas'!I31="slurry"),0.8,'Formula Sheet'!G11)</f>
        <v>0</v>
      </c>
      <c r="G11">
        <f>IF(AND('P2O5 SLUR-2 With Formulas'!S9="Swine",'P2O5 SLUR-2 With Formulas'!H31="SI",'P2O5 SLUR-2 With Formulas'!I31="slurry"),0.8,'Formula Sheet'!H11)</f>
        <v>0</v>
      </c>
      <c r="H11">
        <f>IF(AND('P2O5 SLUR-2 With Formulas'!S9="Swine",'P2O5 SLUR-2 With Formulas'!H31="BR",'P2O5 SLUR-2 With Formulas'!I31="slurry"),0.7,'Formula Sheet'!I11)</f>
        <v>0</v>
      </c>
      <c r="I11">
        <f>IF(AND('P2O5 SLUR-2 With Formulas'!S9="Swine",'P2O5 SLUR-2 With Formulas'!H31="BR",'P2O5 SLUR-2 With Formulas'!I31="sludge"),0.7,'Formula Sheet'!J11)</f>
        <v>0</v>
      </c>
      <c r="J11">
        <f>IF(AND('P2O5 SLUR-2 With Formulas'!S9="Swine",'P2O5 SLUR-2 With Formulas'!H31="SI",'P2O5 SLUR-2 With Formulas'!I31="sludge"),0.8,'Formula Sheet'!K11)</f>
        <v>0</v>
      </c>
      <c r="K11">
        <f>IF(AND('P2O5 SLUR-2 With Formulas'!S9="Swine",'P2O5 SLUR-2 With Formulas'!H31="IN",'P2O5 SLUR-2 With Formulas'!I31="sludge"),0.8,'Formula Sheet'!L11)</f>
        <v>0</v>
      </c>
      <c r="L11">
        <f>IF(AND('P2O5 SLUR-2 With Formulas'!S9="Poultry",'P2O5 SLUR-2 With Formulas'!H31="SI",'P2O5 SLUR-2 With Formulas'!I31="sludge"),0.8,'Formula Sheet'!M11)</f>
        <v>0</v>
      </c>
      <c r="M11">
        <f>IF(AND('P2O5 SLUR-2 With Formulas'!S9="Poultry",'P2O5 SLUR-2 With Formulas'!H31="BR",'P2O5 SLUR-2 With Formulas'!I31="sludge"),0.7,'Formula Sheet'!N11)</f>
        <v>0</v>
      </c>
      <c r="N11">
        <f>IF(AND('P2O5 SLUR-2 With Formulas'!S9="Poultry",'P2O5 SLUR-2 With Formulas'!H31="IN",'P2O5 SLUR-2 With Formulas'!I31="sludge"),0.7,'Formula Sheet'!O11)</f>
        <v>0</v>
      </c>
      <c r="O11">
        <f>IF(AND('P2O5 SLUR-2 With Formulas'!S9="Poultry",'P2O5 SLUR-2 With Formulas'!H31="IN",'P2O5 SLUR-2 With Formulas'!I31="slurry"),0.8,'Formula Sheet'!P11)</f>
        <v>0</v>
      </c>
      <c r="P11">
        <f>IF(AND('P2O5 SLUR-2 With Formulas'!S9="Poultry",'P2O5 SLUR-2 With Formulas'!H31="BR",'P2O5 SLUR-2 With Formulas'!I31="slurry"),0.7,'Formula Sheet'!Q11)</f>
        <v>0</v>
      </c>
      <c r="Q11">
        <f>IF(AND('P2O5 SLUR-2 With Formulas'!S9="Poultry",'P2O5 SLUR-2 With Formulas'!H31="SI",'P2O5 SLUR-2 With Formulas'!I31="slurry"),0.8,'Formula Sheet'!R11)</f>
        <v>0</v>
      </c>
      <c r="R11">
        <f>IF(AND('P2O5 SLUR-2 With Formulas'!S9="Poultry",'P2O5 SLUR-2 With Formulas'!H31="SI",'P2O5 SLUR-2 With Formulas'!I31="liquid"),0.8,'Formula Sheet'!S11)</f>
        <v>0</v>
      </c>
      <c r="S11">
        <f>IF(AND('P2O5 SLUR-2 With Formulas'!S9="Poultry",'P2O5 SLUR-2 With Formulas'!H31="BR",'P2O5 SLUR-2 With Formulas'!I31="liquid"),0.7,'Formula Sheet'!T11)</f>
        <v>0</v>
      </c>
      <c r="T11">
        <f>IF(AND('P2O5 SLUR-2 With Formulas'!S9="Poultry",'P2O5 SLUR-2 With Formulas'!H31="IN",'P2O5 SLUR-2 With Formulas'!I31="liquid"),0.8,'Formula Sheet'!U11)</f>
        <v>0</v>
      </c>
      <c r="U11">
        <f>IF(AND('P2O5 SLUR-2 With Formulas'!S9="Dairy",'P2O5 SLUR-2 With Formulas'!H31="IN",'P2O5 SLUR-2 With Formulas'!I31="slurry"),0.8,'Formula Sheet'!V11)</f>
        <v>0</v>
      </c>
      <c r="V11">
        <f>IF(AND('P2O5 SLUR-2 With Formulas'!S9="Dairy",'P2O5 SLUR-2 With Formulas'!H31="BR",'P2O5 SLUR-2 With Formulas'!I31="slurry"),0.7,'Formula Sheet'!W11)</f>
        <v>0</v>
      </c>
      <c r="W11">
        <f>IF(AND('P2O5 SLUR-2 With Formulas'!S9="Dairy",'P2O5 SLUR-2 With Formulas'!H31="SI",'P2O5 SLUR-2 With Formulas'!I31="slurry"),0.8,'Formula Sheet'!X11)</f>
        <v>0</v>
      </c>
      <c r="X11">
        <f>IF(AND('P2O5 SLUR-2 With Formulas'!S9="Dairy",'P2O5 SLUR-2 With Formulas'!H31="BR",'P2O5 SLUR-2 With Formulas'!I31="DMSSSP"),0.6,'Formula Sheet'!Y11)</f>
        <v>0</v>
      </c>
      <c r="Y11">
        <f>IF(AND('P2O5 SLUR-2 With Formulas'!S9="Dairy",'P2O5 SLUR-2 With Formulas'!H31="SI",'P2O5 SLUR-2 With Formulas'!I31="DMSSSP"),0.75,'Formula Sheet'!Z11)</f>
        <v>0</v>
      </c>
    </row>
    <row r="12" spans="1:25" ht="12.75">
      <c r="A12">
        <f>IF('P2O5 IRR-2 With Formulas'!E34&lt;0,1440,0)</f>
        <v>0</v>
      </c>
      <c r="C12">
        <f>IF(AND('P2O5 SLUR-2 With Formulas'!S9="Swine",'P2O5 SLUR-2 With Formulas'!H32="BR",'P2O5 SLUR-2 With Formulas'!I32="liquid"),0.7,'Formula Sheet'!D12)</f>
        <v>0</v>
      </c>
      <c r="D12">
        <f>IF(AND('P2O5 SLUR-2 With Formulas'!S9="Swine",'P2O5 SLUR-2 With Formulas'!H32="IN",'P2O5 SLUR-2 With Formulas'!I32="liquid"),0.8,'Formula Sheet'!E12)</f>
        <v>0</v>
      </c>
      <c r="E12">
        <f>IF(AND('P2O5 SLUR-2 With Formulas'!S9="Swine",'P2O5 SLUR-2 With Formulas'!I32="IN",'P2O5 SLUR-2 With Formulas'!J32="liquid"),0.8,'Formula Sheet'!F12)</f>
        <v>0</v>
      </c>
      <c r="F12">
        <f>IF(AND('P2O5 SLUR-2 With Formulas'!S9="Swine",'P2O5 SLUR-2 With Formulas'!H32="IN",'P2O5 SLUR-2 With Formulas'!I32="slurry"),0.8,'Formula Sheet'!G12)</f>
        <v>0</v>
      </c>
      <c r="G12">
        <f>IF(AND('P2O5 SLUR-2 With Formulas'!S9="Swine",'P2O5 SLUR-2 With Formulas'!H32="SI",'P2O5 SLUR-2 With Formulas'!I32="slurry"),0.8,'Formula Sheet'!H12)</f>
        <v>0</v>
      </c>
      <c r="H12">
        <f>IF(AND('P2O5 SLUR-2 With Formulas'!S9="Swine",'P2O5 SLUR-2 With Formulas'!H32="BR",'P2O5 SLUR-2 With Formulas'!I32="slurry"),0.7,'Formula Sheet'!I12)</f>
        <v>0</v>
      </c>
      <c r="I12">
        <f>IF(AND('P2O5 SLUR-2 With Formulas'!S9="Swine",'P2O5 SLUR-2 With Formulas'!H32="BR",'P2O5 SLUR-2 With Formulas'!I32="sludge"),0.7,'Formula Sheet'!J12)</f>
        <v>0</v>
      </c>
      <c r="J12">
        <f>IF(AND('P2O5 SLUR-2 With Formulas'!S9="Swine",'P2O5 SLUR-2 With Formulas'!H32="SI",'P2O5 SLUR-2 With Formulas'!I32="sludge"),0.8,'Formula Sheet'!K12)</f>
        <v>0</v>
      </c>
      <c r="K12">
        <f>IF(AND('P2O5 SLUR-2 With Formulas'!S9="Swine",'P2O5 SLUR-2 With Formulas'!H32="IN",'P2O5 SLUR-2 With Formulas'!I32="sludge"),0.8,'Formula Sheet'!L12)</f>
        <v>0</v>
      </c>
      <c r="L12">
        <f>IF(AND('P2O5 SLUR-2 With Formulas'!S9="Poultry",'P2O5 SLUR-2 With Formulas'!H32="SI",'P2O5 SLUR-2 With Formulas'!I32="sludge"),0.8,'Formula Sheet'!M12)</f>
        <v>0</v>
      </c>
      <c r="M12">
        <f>IF(AND('P2O5 SLUR-2 With Formulas'!S9="Poultry",'P2O5 SLUR-2 With Formulas'!H32="BR",'P2O5 SLUR-2 With Formulas'!I32="sludge"),0.7,'Formula Sheet'!N12)</f>
        <v>0</v>
      </c>
      <c r="N12">
        <f>IF(AND('P2O5 SLUR-2 With Formulas'!S9="Poultry",'P2O5 SLUR-2 With Formulas'!H32="IN",'P2O5 SLUR-2 With Formulas'!I32="sludge"),0.7,'Formula Sheet'!O12)</f>
        <v>0</v>
      </c>
      <c r="O12">
        <f>IF(AND('P2O5 SLUR-2 With Formulas'!S9="Poultry",'P2O5 SLUR-2 With Formulas'!H32="IN",'P2O5 SLUR-2 With Formulas'!I32="slurry"),0.8,'Formula Sheet'!P12)</f>
        <v>0</v>
      </c>
      <c r="P12">
        <f>IF(AND('P2O5 SLUR-2 With Formulas'!S9="Poultry",'P2O5 SLUR-2 With Formulas'!H32="BR",'P2O5 SLUR-2 With Formulas'!I32="slurry"),0.7,'Formula Sheet'!Q12)</f>
        <v>0</v>
      </c>
      <c r="Q12">
        <f>IF(AND('P2O5 SLUR-2 With Formulas'!S9="Poultry",'P2O5 SLUR-2 With Formulas'!H32="SI",'P2O5 SLUR-2 With Formulas'!I32="slurry"),0.8,'Formula Sheet'!R12)</f>
        <v>0</v>
      </c>
      <c r="R12">
        <f>IF(AND('P2O5 SLUR-2 With Formulas'!S9="Poultry",'P2O5 SLUR-2 With Formulas'!H32="SI",'P2O5 SLUR-2 With Formulas'!I32="liquid"),0.8,'Formula Sheet'!S12)</f>
        <v>0</v>
      </c>
      <c r="S12">
        <f>IF(AND('P2O5 SLUR-2 With Formulas'!S9="Poultry",'P2O5 SLUR-2 With Formulas'!H32="BR",'P2O5 SLUR-2 With Formulas'!I32="liquid"),0.7,'Formula Sheet'!T12)</f>
        <v>0</v>
      </c>
      <c r="T12">
        <f>IF(AND('P2O5 SLUR-2 With Formulas'!S9="Poultry",'P2O5 SLUR-2 With Formulas'!H32="IN",'P2O5 SLUR-2 With Formulas'!I32="liquid"),0.8,'Formula Sheet'!U12)</f>
        <v>0</v>
      </c>
      <c r="U12">
        <f>IF(AND('P2O5 SLUR-2 With Formulas'!S9="Dairy",'P2O5 SLUR-2 With Formulas'!H32="IN",'P2O5 SLUR-2 With Formulas'!I32="slurry"),0.8,'Formula Sheet'!V12)</f>
        <v>0</v>
      </c>
      <c r="V12">
        <f>IF(AND('P2O5 SLUR-2 With Formulas'!S9="Dairy",'P2O5 SLUR-2 With Formulas'!H32="BR",'P2O5 SLUR-2 With Formulas'!I32="slurry"),0.7,'Formula Sheet'!W12)</f>
        <v>0</v>
      </c>
      <c r="W12">
        <f>IF(AND('P2O5 SLUR-2 With Formulas'!S9="Dairy",'P2O5 SLUR-2 With Formulas'!H32="SI",'P2O5 SLUR-2 With Formulas'!I32="slurry"),0.8,'Formula Sheet'!X12)</f>
        <v>0</v>
      </c>
      <c r="X12">
        <f>IF(AND('P2O5 SLUR-2 With Formulas'!S9="Dairy",'P2O5 SLUR-2 With Formulas'!H32="BR",'P2O5 SLUR-2 With Formulas'!I32="DMSSSP"),0.6,'Formula Sheet'!Y12)</f>
        <v>0</v>
      </c>
      <c r="Y12">
        <f>IF(AND('P2O5 SLUR-2 With Formulas'!S9="Dairy",'P2O5 SLUR-2 With Formulas'!H32="SI",'P2O5 SLUR-2 With Formulas'!I32="DMSSSP"),0.75,'Formula Sheet'!Z12)</f>
        <v>0</v>
      </c>
    </row>
    <row r="13" spans="1:25" ht="12.75">
      <c r="A13">
        <f>IF('P2O5 IRR-2 With Formulas'!E35&lt;0,1440,0)</f>
        <v>0</v>
      </c>
      <c r="C13">
        <f>IF(AND('P2O5 SLUR-2 With Formulas'!S9="Swine",'P2O5 SLUR-2 With Formulas'!H33="BR",'P2O5 SLUR-2 With Formulas'!I33="liquid"),0.7,'Formula Sheet'!D13)</f>
        <v>0</v>
      </c>
      <c r="D13">
        <f>IF(AND('P2O5 SLUR-2 With Formulas'!S9="Swine",'P2O5 SLUR-2 With Formulas'!H33="IN",'P2O5 SLUR-2 With Formulas'!I33="liquid"),0.8,'Formula Sheet'!E13)</f>
        <v>0</v>
      </c>
      <c r="E13">
        <f>IF(AND('P2O5 SLUR-2 With Formulas'!S9="Swine",'P2O5 SLUR-2 With Formulas'!I33="IN",'P2O5 SLUR-2 With Formulas'!J33="liquid"),0.8,'Formula Sheet'!F13)</f>
        <v>0</v>
      </c>
      <c r="F13">
        <f>IF(AND('P2O5 SLUR-2 With Formulas'!S9="Swine",'P2O5 SLUR-2 With Formulas'!H33="IN",'P2O5 SLUR-2 With Formulas'!I33="slurry"),0.8,'Formula Sheet'!G13)</f>
        <v>0</v>
      </c>
      <c r="G13">
        <f>IF(AND('P2O5 SLUR-2 With Formulas'!S9="Swine",'P2O5 SLUR-2 With Formulas'!H33="SI",'P2O5 SLUR-2 With Formulas'!I33="slurry"),0.8,'Formula Sheet'!H13)</f>
        <v>0</v>
      </c>
      <c r="H13">
        <f>IF(AND('P2O5 SLUR-2 With Formulas'!S9="Swine",'P2O5 SLUR-2 With Formulas'!H33="BR",'P2O5 SLUR-2 With Formulas'!I33="slurry"),0.7,'Formula Sheet'!I13)</f>
        <v>0</v>
      </c>
      <c r="I13">
        <f>IF(AND('P2O5 SLUR-2 With Formulas'!S9="Swine",'P2O5 SLUR-2 With Formulas'!H33="BR",'P2O5 SLUR-2 With Formulas'!I33="sludge"),0.7,'Formula Sheet'!J13)</f>
        <v>0</v>
      </c>
      <c r="J13">
        <f>IF(AND('P2O5 SLUR-2 With Formulas'!S9="Swine",'P2O5 SLUR-2 With Formulas'!H33="SI",'P2O5 SLUR-2 With Formulas'!I33="sludge"),0.8,'Formula Sheet'!K13)</f>
        <v>0</v>
      </c>
      <c r="K13">
        <f>IF(AND('P2O5 SLUR-2 With Formulas'!S9="Swine",'P2O5 SLUR-2 With Formulas'!H33="IN",'P2O5 SLUR-2 With Formulas'!I33="sludge"),0.8,'Formula Sheet'!L13)</f>
        <v>0</v>
      </c>
      <c r="L13">
        <f>IF(AND('P2O5 SLUR-2 With Formulas'!S9="Poultry",'P2O5 SLUR-2 With Formulas'!H33="SI",'P2O5 SLUR-2 With Formulas'!I33="sludge"),0.8,'Formula Sheet'!M13)</f>
        <v>0</v>
      </c>
      <c r="M13">
        <f>IF(AND('P2O5 SLUR-2 With Formulas'!S9="Poultry",'P2O5 SLUR-2 With Formulas'!H33="BR",'P2O5 SLUR-2 With Formulas'!I33="sludge"),0.7,'Formula Sheet'!N13)</f>
        <v>0</v>
      </c>
      <c r="N13">
        <f>IF(AND('P2O5 SLUR-2 With Formulas'!S9="Poultry",'P2O5 SLUR-2 With Formulas'!H33="IN",'P2O5 SLUR-2 With Formulas'!I33="sludge"),0.7,'Formula Sheet'!O13)</f>
        <v>0</v>
      </c>
      <c r="O13">
        <f>IF(AND('P2O5 SLUR-2 With Formulas'!S9="Poultry",'P2O5 SLUR-2 With Formulas'!H33="IN",'P2O5 SLUR-2 With Formulas'!I33="slurry"),0.8,'Formula Sheet'!P13)</f>
        <v>0</v>
      </c>
      <c r="P13">
        <f>IF(AND('P2O5 SLUR-2 With Formulas'!S9="Poultry",'P2O5 SLUR-2 With Formulas'!H33="BR",'P2O5 SLUR-2 With Formulas'!I33="slurry"),0.7,'Formula Sheet'!Q13)</f>
        <v>0</v>
      </c>
      <c r="Q13">
        <f>IF(AND('P2O5 SLUR-2 With Formulas'!S9="Poultry",'P2O5 SLUR-2 With Formulas'!H33="SI",'P2O5 SLUR-2 With Formulas'!I33="slurry"),0.8,'Formula Sheet'!R13)</f>
        <v>0</v>
      </c>
      <c r="R13">
        <f>IF(AND('P2O5 SLUR-2 With Formulas'!S9="Poultry",'P2O5 SLUR-2 With Formulas'!H33="SI",'P2O5 SLUR-2 With Formulas'!I33="liquid"),0.8,'Formula Sheet'!S13)</f>
        <v>0</v>
      </c>
      <c r="S13">
        <f>IF(AND('P2O5 SLUR-2 With Formulas'!S9="Poultry",'P2O5 SLUR-2 With Formulas'!H33="BR",'P2O5 SLUR-2 With Formulas'!I33="liquid"),0.7,'Formula Sheet'!T13)</f>
        <v>0</v>
      </c>
      <c r="T13">
        <f>IF(AND('P2O5 SLUR-2 With Formulas'!S9="Poultry",'P2O5 SLUR-2 With Formulas'!H33="IN",'P2O5 SLUR-2 With Formulas'!I33="liquid"),0.8,'Formula Sheet'!U13)</f>
        <v>0</v>
      </c>
      <c r="U13">
        <f>IF(AND('P2O5 SLUR-2 With Formulas'!S9="Dairy",'P2O5 SLUR-2 With Formulas'!H33="IN",'P2O5 SLUR-2 With Formulas'!I33="slurry"),0.8,'Formula Sheet'!V13)</f>
        <v>0</v>
      </c>
      <c r="V13">
        <f>IF(AND('P2O5 SLUR-2 With Formulas'!S9="Dairy",'P2O5 SLUR-2 With Formulas'!H33="BR",'P2O5 SLUR-2 With Formulas'!I33="slurry"),0.7,'Formula Sheet'!W13)</f>
        <v>0</v>
      </c>
      <c r="W13">
        <f>IF(AND('P2O5 SLUR-2 With Formulas'!S9="Dairy",'P2O5 SLUR-2 With Formulas'!H33="SI",'P2O5 SLUR-2 With Formulas'!I33="slurry"),0.8,'Formula Sheet'!X13)</f>
        <v>0</v>
      </c>
      <c r="X13">
        <f>IF(AND('P2O5 SLUR-2 With Formulas'!S9="Dairy",'P2O5 SLUR-2 With Formulas'!H33="BR",'P2O5 SLUR-2 With Formulas'!I33="DMSSSP"),0.6,'Formula Sheet'!Y13)</f>
        <v>0</v>
      </c>
      <c r="Y13">
        <f>IF(AND('P2O5 SLUR-2 With Formulas'!S9="Dairy",'P2O5 SLUR-2 With Formulas'!H33="SI",'P2O5 SLUR-2 With Formulas'!I33="DMSSSP"),0.75,'Formula Sheet'!Z13)</f>
        <v>0</v>
      </c>
    </row>
    <row r="14" spans="1:25" ht="12.75">
      <c r="A14">
        <f>IF('P2O5 IRR-2 With Formulas'!E36&lt;0,1440,0)</f>
        <v>0</v>
      </c>
      <c r="C14" t="e">
        <f>IF(AND('P2O5 SLUR-2 With Formulas'!S9="Swine",'P2O5 SLUR-2 With Formulas'!#REF!="BR",'P2O5 SLUR-2 With Formulas'!#REF!="liquid"),0.7,'Formula Sheet'!D14)</f>
        <v>#REF!</v>
      </c>
      <c r="D14" t="e">
        <f>IF(AND('P2O5 SLUR-2 With Formulas'!S9="Swine",'P2O5 SLUR-2 With Formulas'!#REF!="IN",'P2O5 SLUR-2 With Formulas'!#REF!="liquid"),0.8,'Formula Sheet'!E14)</f>
        <v>#REF!</v>
      </c>
      <c r="E14" t="e">
        <f>IF(AND('P2O5 SLUR-2 With Formulas'!S9="Swine",'P2O5 SLUR-2 With Formulas'!#REF!="IN",'P2O5 SLUR-2 With Formulas'!#REF!="liquid"),0.8,'Formula Sheet'!F14)</f>
        <v>#REF!</v>
      </c>
      <c r="F14" t="e">
        <f>IF(AND('P2O5 SLUR-2 With Formulas'!S9="Swine",'P2O5 SLUR-2 With Formulas'!#REF!="IN",'P2O5 SLUR-2 With Formulas'!#REF!="slurry"),0.8,'Formula Sheet'!G14)</f>
        <v>#REF!</v>
      </c>
      <c r="G14" t="e">
        <f>IF(AND('P2O5 SLUR-2 With Formulas'!S9="Swine",'P2O5 SLUR-2 With Formulas'!#REF!="SI",'P2O5 SLUR-2 With Formulas'!#REF!="slurry"),0.8,'Formula Sheet'!H14)</f>
        <v>#REF!</v>
      </c>
      <c r="H14" t="e">
        <f>IF(AND('P2O5 SLUR-2 With Formulas'!S9="Swine",'P2O5 SLUR-2 With Formulas'!#REF!="BR",'P2O5 SLUR-2 With Formulas'!#REF!="slurry"),0.7,'Formula Sheet'!I14)</f>
        <v>#REF!</v>
      </c>
      <c r="I14" t="e">
        <f>IF(AND('P2O5 SLUR-2 With Formulas'!S9="Swine",'P2O5 SLUR-2 With Formulas'!#REF!="BR",'P2O5 SLUR-2 With Formulas'!#REF!="sludge"),0.7,'Formula Sheet'!J14)</f>
        <v>#REF!</v>
      </c>
      <c r="J14" t="e">
        <f>IF(AND('P2O5 SLUR-2 With Formulas'!S9="Swine",'P2O5 SLUR-2 With Formulas'!#REF!="SI",'P2O5 SLUR-2 With Formulas'!#REF!="sludge"),0.8,'Formula Sheet'!K14)</f>
        <v>#REF!</v>
      </c>
      <c r="K14" t="e">
        <f>IF(AND('P2O5 SLUR-2 With Formulas'!S9="Swine",'P2O5 SLUR-2 With Formulas'!#REF!="IN",'P2O5 SLUR-2 With Formulas'!#REF!="sludge"),0.8,'Formula Sheet'!L14)</f>
        <v>#REF!</v>
      </c>
      <c r="L14" t="e">
        <f>IF(AND('P2O5 SLUR-2 With Formulas'!S9="Poultry",'P2O5 SLUR-2 With Formulas'!#REF!="SI",'P2O5 SLUR-2 With Formulas'!#REF!="sludge"),0.8,'Formula Sheet'!M14)</f>
        <v>#REF!</v>
      </c>
      <c r="M14" t="e">
        <f>IF(AND('P2O5 SLUR-2 With Formulas'!S9="Poultry",'P2O5 SLUR-2 With Formulas'!#REF!="BR",'P2O5 SLUR-2 With Formulas'!#REF!="sludge"),0.7,'Formula Sheet'!N14)</f>
        <v>#REF!</v>
      </c>
      <c r="N14" t="e">
        <f>IF(AND('P2O5 SLUR-2 With Formulas'!S9="Poultry",'P2O5 SLUR-2 With Formulas'!#REF!="IN",'P2O5 SLUR-2 With Formulas'!#REF!="sludge"),0.7,'Formula Sheet'!O14)</f>
        <v>#REF!</v>
      </c>
      <c r="O14" t="e">
        <f>IF(AND('P2O5 SLUR-2 With Formulas'!S9="Poultry",'P2O5 SLUR-2 With Formulas'!#REF!="IN",'P2O5 SLUR-2 With Formulas'!#REF!="slurry"),0.8,'Formula Sheet'!P14)</f>
        <v>#REF!</v>
      </c>
      <c r="P14" t="e">
        <f>IF(AND('P2O5 SLUR-2 With Formulas'!S9="Poultry",'P2O5 SLUR-2 With Formulas'!#REF!="BR",'P2O5 SLUR-2 With Formulas'!#REF!="slurry"),0.7,'Formula Sheet'!Q14)</f>
        <v>#REF!</v>
      </c>
      <c r="Q14" t="e">
        <f>IF(AND('P2O5 SLUR-2 With Formulas'!S9="Poultry",'P2O5 SLUR-2 With Formulas'!#REF!="SI",'P2O5 SLUR-2 With Formulas'!#REF!="slurry"),0.8,'Formula Sheet'!R14)</f>
        <v>#REF!</v>
      </c>
      <c r="R14" t="e">
        <f>IF(AND('P2O5 SLUR-2 With Formulas'!S9="Poultry",'P2O5 SLUR-2 With Formulas'!#REF!="SI",'P2O5 SLUR-2 With Formulas'!#REF!="liquid"),0.8,'Formula Sheet'!S14)</f>
        <v>#REF!</v>
      </c>
      <c r="S14" t="e">
        <f>IF(AND('P2O5 SLUR-2 With Formulas'!S9="Poultry",'P2O5 SLUR-2 With Formulas'!#REF!="BR",'P2O5 SLUR-2 With Formulas'!#REF!="liquid"),0.7,'Formula Sheet'!T14)</f>
        <v>#REF!</v>
      </c>
      <c r="T14" t="e">
        <f>IF(AND('P2O5 SLUR-2 With Formulas'!S9="Poultry",'P2O5 SLUR-2 With Formulas'!#REF!="IN",'P2O5 SLUR-2 With Formulas'!#REF!="liquid"),0.8,'Formula Sheet'!U14)</f>
        <v>#REF!</v>
      </c>
      <c r="U14" t="e">
        <f>IF(AND('P2O5 SLUR-2 With Formulas'!S9="Dairy",'P2O5 SLUR-2 With Formulas'!#REF!="IN",'P2O5 SLUR-2 With Formulas'!#REF!="slurry"),0.8,'Formula Sheet'!V14)</f>
        <v>#REF!</v>
      </c>
      <c r="V14" t="e">
        <f>IF(AND('P2O5 SLUR-2 With Formulas'!S9="Dairy",'P2O5 SLUR-2 With Formulas'!#REF!="BR",'P2O5 SLUR-2 With Formulas'!#REF!="slurry"),0.7,'Formula Sheet'!W14)</f>
        <v>#REF!</v>
      </c>
      <c r="W14" t="e">
        <f>IF(AND('P2O5 SLUR-2 With Formulas'!S9="Dairy",'P2O5 SLUR-2 With Formulas'!#REF!="SI",'P2O5 SLUR-2 With Formulas'!#REF!="slurry"),0.8,'Formula Sheet'!X14)</f>
        <v>#REF!</v>
      </c>
      <c r="X14" t="e">
        <f>IF(AND('P2O5 SLUR-2 With Formulas'!S9="Dairy",'P2O5 SLUR-2 With Formulas'!#REF!="BR",'P2O5 SLUR-2 With Formulas'!#REF!="DMSSSP"),0.6,'Formula Sheet'!Y14)</f>
        <v>#REF!</v>
      </c>
      <c r="Y14" t="e">
        <f>IF(AND('P2O5 SLUR-2 With Formulas'!S9="Dairy",'P2O5 SLUR-2 With Formulas'!#REF!="SI",'P2O5 SLUR-2 With Formulas'!#REF!="DMSSSP"),0.75,'Formula Sheet'!Z14)</f>
        <v>#REF!</v>
      </c>
    </row>
    <row r="15" spans="1:25" ht="12.75">
      <c r="A15" t="e">
        <f>IF('P2O5 IRR-2 With Formulas'!#REF!&lt;0,1440,0)</f>
        <v>#REF!</v>
      </c>
      <c r="C15" t="e">
        <f>IF(AND('P2O5 SLUR-2 With Formulas'!S9="Swine",'P2O5 SLUR-2 With Formulas'!#REF!="BR",'P2O5 SLUR-2 With Formulas'!#REF!="liquid"),0.7,'Formula Sheet'!D15)</f>
        <v>#REF!</v>
      </c>
      <c r="D15" t="e">
        <f>IF(AND('P2O5 SLUR-2 With Formulas'!S9="Swine",'P2O5 SLUR-2 With Formulas'!#REF!="IN",'P2O5 SLUR-2 With Formulas'!#REF!="liquid"),0.8,'Formula Sheet'!E15)</f>
        <v>#REF!</v>
      </c>
      <c r="E15" t="e">
        <f>IF(AND('P2O5 SLUR-2 With Formulas'!S9="Swine",'P2O5 SLUR-2 With Formulas'!#REF!="IN",'P2O5 SLUR-2 With Formulas'!#REF!="liquid"),0.8,'Formula Sheet'!F15)</f>
        <v>#REF!</v>
      </c>
      <c r="F15" t="e">
        <f>IF(AND('P2O5 SLUR-2 With Formulas'!S9="Swine",'P2O5 SLUR-2 With Formulas'!#REF!="IN",'P2O5 SLUR-2 With Formulas'!#REF!="slurry"),0.8,'Formula Sheet'!G15)</f>
        <v>#REF!</v>
      </c>
      <c r="G15" t="e">
        <f>IF(AND('P2O5 SLUR-2 With Formulas'!S9="Swine",'P2O5 SLUR-2 With Formulas'!#REF!="SI",'P2O5 SLUR-2 With Formulas'!#REF!="slurry"),0.8,'Formula Sheet'!H15)</f>
        <v>#REF!</v>
      </c>
      <c r="H15" t="e">
        <f>IF(AND('P2O5 SLUR-2 With Formulas'!S9="Swine",'P2O5 SLUR-2 With Formulas'!#REF!="BR",'P2O5 SLUR-2 With Formulas'!#REF!="slurry"),0.7,'Formula Sheet'!I15)</f>
        <v>#REF!</v>
      </c>
      <c r="I15" t="e">
        <f>IF(AND('P2O5 SLUR-2 With Formulas'!S9="Swine",'P2O5 SLUR-2 With Formulas'!#REF!="BR",'P2O5 SLUR-2 With Formulas'!#REF!="sludge"),0.7,'Formula Sheet'!J15)</f>
        <v>#REF!</v>
      </c>
      <c r="J15" t="e">
        <f>IF(AND('P2O5 SLUR-2 With Formulas'!S9="Swine",'P2O5 SLUR-2 With Formulas'!#REF!="SI",'P2O5 SLUR-2 With Formulas'!#REF!="sludge"),0.8,'Formula Sheet'!K15)</f>
        <v>#REF!</v>
      </c>
      <c r="K15" t="e">
        <f>IF(AND('P2O5 SLUR-2 With Formulas'!S9="Swine",'P2O5 SLUR-2 With Formulas'!#REF!="IN",'P2O5 SLUR-2 With Formulas'!#REF!="sludge"),0.8,'Formula Sheet'!L15)</f>
        <v>#REF!</v>
      </c>
      <c r="L15" t="e">
        <f>IF(AND('P2O5 SLUR-2 With Formulas'!S9="Poultry",'P2O5 SLUR-2 With Formulas'!#REF!="SI",'P2O5 SLUR-2 With Formulas'!#REF!="sludge"),0.8,'Formula Sheet'!M15)</f>
        <v>#REF!</v>
      </c>
      <c r="M15" t="e">
        <f>IF(AND('P2O5 SLUR-2 With Formulas'!S9="Poultry",'P2O5 SLUR-2 With Formulas'!#REF!="BR",'P2O5 SLUR-2 With Formulas'!#REF!="sludge"),0.7,'Formula Sheet'!N15)</f>
        <v>#REF!</v>
      </c>
      <c r="N15" t="e">
        <f>IF(AND('P2O5 SLUR-2 With Formulas'!S9="Poultry",'P2O5 SLUR-2 With Formulas'!#REF!="IN",'P2O5 SLUR-2 With Formulas'!#REF!="sludge"),0.7,'Formula Sheet'!O15)</f>
        <v>#REF!</v>
      </c>
      <c r="O15" t="e">
        <f>IF(AND('P2O5 SLUR-2 With Formulas'!S9="Poultry",'P2O5 SLUR-2 With Formulas'!#REF!="IN",'P2O5 SLUR-2 With Formulas'!#REF!="slurry"),0.8,'Formula Sheet'!P15)</f>
        <v>#REF!</v>
      </c>
      <c r="P15" t="e">
        <f>IF(AND('P2O5 SLUR-2 With Formulas'!S9="Poultry",'P2O5 SLUR-2 With Formulas'!#REF!="BR",'P2O5 SLUR-2 With Formulas'!#REF!="slurry"),0.7,'Formula Sheet'!Q15)</f>
        <v>#REF!</v>
      </c>
      <c r="Q15" t="e">
        <f>IF(AND('P2O5 SLUR-2 With Formulas'!S9="Poultry",'P2O5 SLUR-2 With Formulas'!#REF!="SI",'P2O5 SLUR-2 With Formulas'!#REF!="slurry"),0.8,'Formula Sheet'!R15)</f>
        <v>#REF!</v>
      </c>
      <c r="R15" t="e">
        <f>IF(AND('P2O5 SLUR-2 With Formulas'!S9="Poultry",'P2O5 SLUR-2 With Formulas'!#REF!="SI",'P2O5 SLUR-2 With Formulas'!#REF!="liquid"),0.8,'Formula Sheet'!S15)</f>
        <v>#REF!</v>
      </c>
      <c r="S15" t="e">
        <f>IF(AND('P2O5 SLUR-2 With Formulas'!S9="Poultry",'P2O5 SLUR-2 With Formulas'!#REF!="BR",'P2O5 SLUR-2 With Formulas'!#REF!="liquid"),0.7,'Formula Sheet'!T15)</f>
        <v>#REF!</v>
      </c>
      <c r="T15" t="e">
        <f>IF(AND('P2O5 SLUR-2 With Formulas'!S9="Poultry",'P2O5 SLUR-2 With Formulas'!#REF!="IN",'P2O5 SLUR-2 With Formulas'!#REF!="liquid"),0.8,'Formula Sheet'!U15)</f>
        <v>#REF!</v>
      </c>
      <c r="U15" t="e">
        <f>IF(AND('P2O5 SLUR-2 With Formulas'!S9="Dairy",'P2O5 SLUR-2 With Formulas'!#REF!="IN",'P2O5 SLUR-2 With Formulas'!#REF!="slurry"),0.8,'Formula Sheet'!V15)</f>
        <v>#REF!</v>
      </c>
      <c r="V15" t="e">
        <f>IF(AND('P2O5 SLUR-2 With Formulas'!S9="Dairy",'P2O5 SLUR-2 With Formulas'!#REF!="BR",'P2O5 SLUR-2 With Formulas'!#REF!="slurry"),0.7,'Formula Sheet'!W15)</f>
        <v>#REF!</v>
      </c>
      <c r="W15" t="e">
        <f>IF(AND('P2O5 SLUR-2 With Formulas'!S9="Dairy",'P2O5 SLUR-2 With Formulas'!#REF!="SI",'P2O5 SLUR-2 With Formulas'!#REF!="slurry"),0.8,'Formula Sheet'!X15)</f>
        <v>#REF!</v>
      </c>
      <c r="X15" t="e">
        <f>IF(AND('P2O5 SLUR-2 With Formulas'!S9="Dairy",'P2O5 SLUR-2 With Formulas'!#REF!="BR",'P2O5 SLUR-2 With Formulas'!#REF!="DMSSSP"),0.6,'Formula Sheet'!Y15)</f>
        <v>#REF!</v>
      </c>
      <c r="Y15" t="e">
        <f>IF(AND('P2O5 SLUR-2 With Formulas'!S9="Dairy",'P2O5 SLUR-2 With Formulas'!#REF!="SI",'P2O5 SLUR-2 With Formulas'!#REF!="DMSSSP"),0.75,'Formula Sheet'!Z15)</f>
        <v>#REF!</v>
      </c>
    </row>
    <row r="16" spans="1:25" ht="12.75">
      <c r="A16" t="e">
        <f>IF('P2O5 IRR-2 With Formulas'!#REF!&lt;0,1440,0)</f>
        <v>#REF!</v>
      </c>
      <c r="C16">
        <f>IF(AND('P2O5 SLUR-2 With Formulas'!S9="Swine",'P2O5 SLUR-2 With Formulas'!H34="BR",'P2O5 SLUR-2 With Formulas'!I34="liquid"),0.7,'Formula Sheet'!D16)</f>
        <v>0</v>
      </c>
      <c r="D16">
        <f>IF(AND('P2O5 SLUR-2 With Formulas'!S9="Swine",'P2O5 SLUR-2 With Formulas'!H34="IN",'P2O5 SLUR-2 With Formulas'!I34="liquid"),0.8,'Formula Sheet'!E16)</f>
        <v>0</v>
      </c>
      <c r="E16">
        <f>IF(AND('P2O5 SLUR-2 With Formulas'!S9="Swine",'P2O5 SLUR-2 With Formulas'!I34="IN",'P2O5 SLUR-2 With Formulas'!J34="liquid"),0.8,'Formula Sheet'!F16)</f>
        <v>0</v>
      </c>
      <c r="F16">
        <f>IF(AND('P2O5 SLUR-2 With Formulas'!S9="Swine",'P2O5 SLUR-2 With Formulas'!H34="IN",'P2O5 SLUR-2 With Formulas'!I34="slurry"),0.8,'Formula Sheet'!G16)</f>
        <v>0</v>
      </c>
      <c r="G16">
        <f>IF(AND('P2O5 SLUR-2 With Formulas'!S9="Swine",'P2O5 SLUR-2 With Formulas'!H34="SI",'P2O5 SLUR-2 With Formulas'!I34="slurry"),0.8,'Formula Sheet'!H16)</f>
        <v>0</v>
      </c>
      <c r="H16">
        <f>IF(AND('P2O5 SLUR-2 With Formulas'!S9="Swine",'P2O5 SLUR-2 With Formulas'!H34="BR",'P2O5 SLUR-2 With Formulas'!I34="slurry"),0.7,'Formula Sheet'!I16)</f>
        <v>0</v>
      </c>
      <c r="I16">
        <f>IF(AND('P2O5 SLUR-2 With Formulas'!S9="Swine",'P2O5 SLUR-2 With Formulas'!H34="BR",'P2O5 SLUR-2 With Formulas'!I34="sludge"),0.7,'Formula Sheet'!J16)</f>
        <v>0</v>
      </c>
      <c r="J16">
        <f>IF(AND('P2O5 SLUR-2 With Formulas'!S9="Swine",'P2O5 SLUR-2 With Formulas'!H34="SI",'P2O5 SLUR-2 With Formulas'!I34="sludge"),0.8,'Formula Sheet'!K16)</f>
        <v>0</v>
      </c>
      <c r="K16">
        <f>IF(AND('P2O5 SLUR-2 With Formulas'!S9="Swine",'P2O5 SLUR-2 With Formulas'!H34="IN",'P2O5 SLUR-2 With Formulas'!I34="sludge"),0.8,'Formula Sheet'!L16)</f>
        <v>0</v>
      </c>
      <c r="L16">
        <f>IF(AND('P2O5 SLUR-2 With Formulas'!S9="Poultry",'P2O5 SLUR-2 With Formulas'!H34="SI",'P2O5 SLUR-2 With Formulas'!I34="sludge"),0.8,'Formula Sheet'!M16)</f>
        <v>0</v>
      </c>
      <c r="M16">
        <f>IF(AND('P2O5 SLUR-2 With Formulas'!S9="Poultry",'P2O5 SLUR-2 With Formulas'!H34="BR",'P2O5 SLUR-2 With Formulas'!I34="sludge"),0.7,'Formula Sheet'!N16)</f>
        <v>0</v>
      </c>
      <c r="N16">
        <f>IF(AND('P2O5 SLUR-2 With Formulas'!S9="Poultry",'P2O5 SLUR-2 With Formulas'!H34="IN",'P2O5 SLUR-2 With Formulas'!I34="sludge"),0.7,'Formula Sheet'!O16)</f>
        <v>0</v>
      </c>
      <c r="O16">
        <f>IF(AND('P2O5 SLUR-2 With Formulas'!S9="Poultry",'P2O5 SLUR-2 With Formulas'!H34="IN",'P2O5 SLUR-2 With Formulas'!I34="slurry"),0.8,'Formula Sheet'!P16)</f>
        <v>0</v>
      </c>
      <c r="P16">
        <f>IF(AND('P2O5 SLUR-2 With Formulas'!S9="Poultry",'P2O5 SLUR-2 With Formulas'!H34="BR",'P2O5 SLUR-2 With Formulas'!I34="slurry"),0.7,'Formula Sheet'!Q16)</f>
        <v>0</v>
      </c>
      <c r="Q16">
        <f>IF(AND('P2O5 SLUR-2 With Formulas'!S9="Poultry",'P2O5 SLUR-2 With Formulas'!H34="SI",'P2O5 SLUR-2 With Formulas'!I34="slurry"),0.8,'Formula Sheet'!R16)</f>
        <v>0</v>
      </c>
      <c r="R16">
        <f>IF(AND('P2O5 SLUR-2 With Formulas'!S9="Poultry",'P2O5 SLUR-2 With Formulas'!H34="SI",'P2O5 SLUR-2 With Formulas'!I34="liquid"),0.8,'Formula Sheet'!S16)</f>
        <v>0</v>
      </c>
      <c r="S16">
        <f>IF(AND('P2O5 SLUR-2 With Formulas'!S9="Poultry",'P2O5 SLUR-2 With Formulas'!H34="BR",'P2O5 SLUR-2 With Formulas'!I34="liquid"),0.7,'Formula Sheet'!T16)</f>
        <v>0</v>
      </c>
      <c r="T16">
        <f>IF(AND('P2O5 SLUR-2 With Formulas'!S9="Poultry",'P2O5 SLUR-2 With Formulas'!H34="IN",'P2O5 SLUR-2 With Formulas'!I34="liquid"),0.8,'Formula Sheet'!U16)</f>
        <v>0</v>
      </c>
      <c r="U16">
        <f>IF(AND('P2O5 SLUR-2 With Formulas'!S9="Dairy",'P2O5 SLUR-2 With Formulas'!H34="IN",'P2O5 SLUR-2 With Formulas'!I34="slurry"),0.8,'Formula Sheet'!V16)</f>
        <v>0</v>
      </c>
      <c r="V16">
        <f>IF(AND('P2O5 SLUR-2 With Formulas'!S9="Dairy",'P2O5 SLUR-2 With Formulas'!H34="BR",'P2O5 SLUR-2 With Formulas'!I34="slurry"),0.7,'Formula Sheet'!W16)</f>
        <v>0</v>
      </c>
      <c r="W16">
        <f>IF(AND('P2O5 SLUR-2 With Formulas'!S9="Dairy",'P2O5 SLUR-2 With Formulas'!H34="SI",'P2O5 SLUR-2 With Formulas'!I34="slurry"),0.8,'Formula Sheet'!X16)</f>
        <v>0</v>
      </c>
      <c r="X16">
        <f>IF(AND('P2O5 SLUR-2 With Formulas'!S9="Dairy",'P2O5 SLUR-2 With Formulas'!H34="BR",'P2O5 SLUR-2 With Formulas'!I34="DMSSSP"),0.6,'Formula Sheet'!Y16)</f>
        <v>0</v>
      </c>
      <c r="Y16">
        <f>IF(AND('P2O5 SLUR-2 With Formulas'!S9="Dairy",'P2O5 SLUR-2 With Formulas'!H34="SI",'P2O5 SLUR-2 With Formulas'!I34="DMSSSP"),0.75,'Formula Sheet'!Z16)</f>
        <v>0</v>
      </c>
    </row>
    <row r="17" spans="1:25" ht="12.75">
      <c r="A17" t="e">
        <f>IF('P2O5 IRR-2 With Formulas'!#REF!&lt;0,1440,0)</f>
        <v>#REF!</v>
      </c>
      <c r="C17" t="e">
        <f>IF(AND('P2O5 SLUR-2 With Formulas'!S9="Swine",'P2O5 SLUR-2 With Formulas'!#REF!="BR",'P2O5 SLUR-2 With Formulas'!#REF!="liquid"),0.7,'Formula Sheet'!D17)</f>
        <v>#REF!</v>
      </c>
      <c r="D17" t="e">
        <f>IF(AND('P2O5 SLUR-2 With Formulas'!S9="Swine",'P2O5 SLUR-2 With Formulas'!#REF!="IN",'P2O5 SLUR-2 With Formulas'!#REF!="liquid"),0.8,'Formula Sheet'!E17)</f>
        <v>#REF!</v>
      </c>
      <c r="E17" t="e">
        <f>IF(AND('P2O5 SLUR-2 With Formulas'!S9="Swine",'P2O5 SLUR-2 With Formulas'!#REF!="IN",'P2O5 SLUR-2 With Formulas'!#REF!="liquid"),0.8,'Formula Sheet'!F17)</f>
        <v>#REF!</v>
      </c>
      <c r="F17" t="e">
        <f>IF(AND('P2O5 SLUR-2 With Formulas'!S9="Swine",'P2O5 SLUR-2 With Formulas'!#REF!="IN",'P2O5 SLUR-2 With Formulas'!#REF!="slurry"),0.8,'Formula Sheet'!G17)</f>
        <v>#REF!</v>
      </c>
      <c r="G17" t="e">
        <f>IF(AND('P2O5 SLUR-2 With Formulas'!S9="Swine",'P2O5 SLUR-2 With Formulas'!#REF!="SI",'P2O5 SLUR-2 With Formulas'!#REF!="slurry"),0.8,'Formula Sheet'!H17)</f>
        <v>#REF!</v>
      </c>
      <c r="H17" t="e">
        <f>IF(AND('P2O5 SLUR-2 With Formulas'!S9="Swine",'P2O5 SLUR-2 With Formulas'!#REF!="BR",'P2O5 SLUR-2 With Formulas'!#REF!="slurry"),0.7,'Formula Sheet'!I17)</f>
        <v>#REF!</v>
      </c>
      <c r="I17" t="e">
        <f>IF(AND('P2O5 SLUR-2 With Formulas'!S9="Swine",'P2O5 SLUR-2 With Formulas'!#REF!="BR",'P2O5 SLUR-2 With Formulas'!#REF!="sludge"),0.7,'Formula Sheet'!J17)</f>
        <v>#REF!</v>
      </c>
      <c r="J17" t="e">
        <f>IF(AND('P2O5 SLUR-2 With Formulas'!S9="Swine",'P2O5 SLUR-2 With Formulas'!#REF!="SI",'P2O5 SLUR-2 With Formulas'!#REF!="sludge"),0.8,'Formula Sheet'!K17)</f>
        <v>#REF!</v>
      </c>
      <c r="K17" t="e">
        <f>IF(AND('P2O5 SLUR-2 With Formulas'!S9="Swine",'P2O5 SLUR-2 With Formulas'!#REF!="IN",'P2O5 SLUR-2 With Formulas'!#REF!="sludge"),0.8,'Formula Sheet'!L17)</f>
        <v>#REF!</v>
      </c>
      <c r="L17" t="e">
        <f>IF(AND('P2O5 SLUR-2 With Formulas'!S9="Poultry",'P2O5 SLUR-2 With Formulas'!#REF!="SI",'P2O5 SLUR-2 With Formulas'!#REF!="sludge"),0.8,'Formula Sheet'!M17)</f>
        <v>#REF!</v>
      </c>
      <c r="M17" t="e">
        <f>IF(AND('P2O5 SLUR-2 With Formulas'!S9="Poultry",'P2O5 SLUR-2 With Formulas'!#REF!="BR",'P2O5 SLUR-2 With Formulas'!#REF!="sludge"),0.7,'Formula Sheet'!N17)</f>
        <v>#REF!</v>
      </c>
      <c r="N17" t="e">
        <f>IF(AND('P2O5 SLUR-2 With Formulas'!S9="Poultry",'P2O5 SLUR-2 With Formulas'!#REF!="IN",'P2O5 SLUR-2 With Formulas'!#REF!="sludge"),0.7,'Formula Sheet'!O17)</f>
        <v>#REF!</v>
      </c>
      <c r="O17" t="e">
        <f>IF(AND('P2O5 SLUR-2 With Formulas'!S9="Poultry",'P2O5 SLUR-2 With Formulas'!#REF!="IN",'P2O5 SLUR-2 With Formulas'!#REF!="slurry"),0.8,'Formula Sheet'!P17)</f>
        <v>#REF!</v>
      </c>
      <c r="P17" t="e">
        <f>IF(AND('P2O5 SLUR-2 With Formulas'!S9="Poultry",'P2O5 SLUR-2 With Formulas'!#REF!="BR",'P2O5 SLUR-2 With Formulas'!#REF!="slurry"),0.7,'Formula Sheet'!Q17)</f>
        <v>#REF!</v>
      </c>
      <c r="Q17" t="e">
        <f>IF(AND('P2O5 SLUR-2 With Formulas'!S9="Poultry",'P2O5 SLUR-2 With Formulas'!#REF!="SI",'P2O5 SLUR-2 With Formulas'!#REF!="slurry"),0.8,'Formula Sheet'!R17)</f>
        <v>#REF!</v>
      </c>
      <c r="R17" t="e">
        <f>IF(AND('P2O5 SLUR-2 With Formulas'!S9="Poultry",'P2O5 SLUR-2 With Formulas'!#REF!="SI",'P2O5 SLUR-2 With Formulas'!#REF!="liquid"),0.8,'Formula Sheet'!S17)</f>
        <v>#REF!</v>
      </c>
      <c r="S17" t="e">
        <f>IF(AND('P2O5 SLUR-2 With Formulas'!S9="Poultry",'P2O5 SLUR-2 With Formulas'!#REF!="BR",'P2O5 SLUR-2 With Formulas'!#REF!="liquid"),0.7,'Formula Sheet'!T17)</f>
        <v>#REF!</v>
      </c>
      <c r="T17" t="e">
        <f>IF(AND('P2O5 SLUR-2 With Formulas'!S9="Poultry",'P2O5 SLUR-2 With Formulas'!#REF!="IN",'P2O5 SLUR-2 With Formulas'!#REF!="liquid"),0.8,'Formula Sheet'!U17)</f>
        <v>#REF!</v>
      </c>
      <c r="U17" t="e">
        <f>IF(AND('P2O5 SLUR-2 With Formulas'!S9="Dairy",'P2O5 SLUR-2 With Formulas'!#REF!="IN",'P2O5 SLUR-2 With Formulas'!#REF!="slurry"),0.8,'Formula Sheet'!V17)</f>
        <v>#REF!</v>
      </c>
      <c r="V17" t="e">
        <f>IF(AND('P2O5 SLUR-2 With Formulas'!S9="Dairy",'P2O5 SLUR-2 With Formulas'!#REF!="BR",'P2O5 SLUR-2 With Formulas'!#REF!="slurry"),0.7,'Formula Sheet'!W17)</f>
        <v>#REF!</v>
      </c>
      <c r="W17" t="e">
        <f>IF(AND('P2O5 SLUR-2 With Formulas'!S9="Dairy",'P2O5 SLUR-2 With Formulas'!#REF!="SI",'P2O5 SLUR-2 With Formulas'!#REF!="slurry"),0.8,'Formula Sheet'!X17)</f>
        <v>#REF!</v>
      </c>
      <c r="X17" t="e">
        <f>IF(AND('P2O5 SLUR-2 With Formulas'!S9="Dairy",'P2O5 SLUR-2 With Formulas'!#REF!="BR",'P2O5 SLUR-2 With Formulas'!#REF!="DMSSSP"),0.6,'Formula Sheet'!Y17)</f>
        <v>#REF!</v>
      </c>
      <c r="Y17" t="e">
        <f>IF(AND('P2O5 SLUR-2 With Formulas'!S9="Dairy",'P2O5 SLUR-2 With Formulas'!#REF!="SI",'P2O5 SLUR-2 With Formulas'!#REF!="DMSSSP"),0.75,'Formula Sheet'!Z17)</f>
        <v>#REF!</v>
      </c>
    </row>
    <row r="20" spans="3:29" ht="12.75">
      <c r="C20">
        <f>IF(AND('P2O5 SOLID-2 With Formulas'!$S$9="Swine",'P2O5 SOLID-2 With Formulas'!$H21="br",'P2O5 SOLID-2 With Formulas'!$I21="slurry"),0.7,'Formula Sheet'!D20)</f>
        <v>0</v>
      </c>
      <c r="D20">
        <f>IF(AND('P2O5 SOLID-2 With Formulas'!$S$9="Swine",'P2O5 SOLID-2 With Formulas'!$H21="si",'P2O5 SOLID-2 With Formulas'!$I21="slurry"),0.8,'Formula Sheet'!E20)</f>
        <v>0</v>
      </c>
      <c r="E20">
        <f>IF(AND('P2O5 SOLID-2 With Formulas'!$S$9="Swine",'P2O5 SOLID-2 With Formulas'!$H21="in",'P2O5 SOLID-2 With Formulas'!$I21="slurry"),0.8,'Formula Sheet'!F20)</f>
        <v>0</v>
      </c>
      <c r="F20">
        <f>IF(AND('P2O5 SOLID-2 With Formulas'!$S$9="Swine",'P2O5 SOLID-2 With Formulas'!$H21="in",'P2O5 SOLID-2 With Formulas'!$I21="sludge"),0.8,'Formula Sheet'!G20)</f>
        <v>0</v>
      </c>
      <c r="G20">
        <f>IF(AND('P2O5 SOLID-2 With Formulas'!$S$9="Swine",'P2O5 SOLID-2 With Formulas'!$H21="si",'P2O5 SOLID-2 With Formulas'!$I21="sludge"),0.8,'Formula Sheet'!H20)</f>
        <v>0</v>
      </c>
      <c r="H20">
        <f>IF(AND('P2O5 SOLID-2 With Formulas'!$S$9="Swine",'P2O5 SOLID-2 With Formulas'!$H21="br",'P2O5 SOLID-2 With Formulas'!$I21="sludge"),0.7,'Formula Sheet'!I20)</f>
        <v>0</v>
      </c>
      <c r="I20">
        <f>IF(AND('P2O5 SOLID-2 With Formulas'!S9="Swine",'P2O5 SOLID-2 With Formulas'!H21="br",'P2O5 SOLID-2 With Formulas'!I21="dmsssp"),"ERROR",'Formula Sheet'!J20)</f>
        <v>0</v>
      </c>
      <c r="J20">
        <f>IF(AND('P2O5 SOLID-2 With Formulas'!$S$9="Swine",'P2O5 SOLID-2 With Formulas'!$H21="si",'P2O5 SOLID-2 With Formulas'!$I21="dmsssp"),"ERROR",'Formula Sheet'!K20)</f>
        <v>0</v>
      </c>
      <c r="K20">
        <f>IF(AND('P2O5 SOLID-2 With Formulas'!$S$9="Swine",'P2O5 SOLID-2 With Formulas'!$H21="in",'P2O5 SOLID-2 With Formulas'!$I21="dmsssp"),"ERROR",'Formula Sheet'!L20)</f>
        <v>0</v>
      </c>
      <c r="L20">
        <f>IF(AND('P2O5 SOLID-2 With Formulas'!$S$9="Poultry",'P2O5 SOLID-2 With Formulas'!$H21="br",'P2O5 SOLID-2 With Formulas'!$I21="slurry"),0.7,'Formula Sheet'!M20)</f>
        <v>0</v>
      </c>
      <c r="M20">
        <f>IF(AND('P2O5 SOLID-2 With Formulas'!$S$9="Poultry",'P2O5 SOLID-2 With Formulas'!$H21="si",'P2O5 SOLID-2 With Formulas'!$I21="slurry"),0.8,'Formula Sheet'!N20)</f>
        <v>0</v>
      </c>
      <c r="N20">
        <f>IF(AND('P2O5 SOLID-2 With Formulas'!$S$9="Poultry",'P2O5 SOLID-2 With Formulas'!$H21="in",'P2O5 SOLID-2 With Formulas'!$I21="slurry"),0.8,'Formula Sheet'!O20)</f>
        <v>0</v>
      </c>
      <c r="O20">
        <f>IF(AND('P2O5 SOLID-2 With Formulas'!$S$9="Poultry",'P2O5 SOLID-2 With Formulas'!$H21="br",'P2O5 SOLID-2 With Formulas'!$I21="sludge"),0.7,'Formula Sheet'!P20)</f>
        <v>0</v>
      </c>
      <c r="P20">
        <f>IF(AND('P2O5 SOLID-2 With Formulas'!$S$9="Poultry",'P2O5 SOLID-2 With Formulas'!$H21="si",'P2O5 SOLID-2 With Formulas'!$I21="sludge"),0.8,'Formula Sheet'!Q20)</f>
        <v>0</v>
      </c>
      <c r="Q20">
        <f>IF(AND('P2O5 SOLID-2 With Formulas'!$S$9="Poultry",'P2O5 SOLID-2 With Formulas'!$H21="in",'P2O5 SOLID-2 With Formulas'!$I21="sludge"),0.7,'Formula Sheet'!R20)</f>
        <v>0</v>
      </c>
      <c r="R20">
        <f>IF(AND('P2O5 SOLID-2 With Formulas'!$S$9="Poultry",'P2O5 SOLID-2 With Formulas'!$H21="br",'P2O5 SOLID-2 With Formulas'!$I21="dmsssp"),"ERROR",'Formula Sheet'!S20)</f>
        <v>0</v>
      </c>
      <c r="S20">
        <f>IF(AND('P2O5 SOLID-2 With Formulas'!$S$9="Poultry",'P2O5 SOLID-2 With Formulas'!$H21="si",'P2O5 SOLID-2 With Formulas'!$I21="dmsssp"),"ERROR",'Formula Sheet'!T20)</f>
        <v>0</v>
      </c>
      <c r="T20">
        <f>IF(AND('P2O5 SOLID-2 With Formulas'!$S$9="Poultry",'P2O5 SOLID-2 With Formulas'!$H21="in",'P2O5 SOLID-2 With Formulas'!$I21="dmsssp"),"ERROR",'Formula Sheet'!U20)</f>
        <v>0</v>
      </c>
      <c r="U20">
        <f>IF(AND('P2O5 SOLID-2 With Formulas'!$S$9="Dairy",'P2O5 SOLID-2 With Formulas'!$H21="br",'P2O5 SOLID-2 With Formulas'!$I21="slurry"),0.7,'Formula Sheet'!V20)</f>
        <v>0</v>
      </c>
      <c r="V20">
        <f>IF(AND('P2O5 SOLID-2 With Formulas'!$S$9="Dairy",'P2O5 SOLID-2 With Formulas'!$H21="si",'P2O5 SOLID-2 With Formulas'!$I21="slurry"),0.8,'Formula Sheet'!W20)</f>
        <v>0</v>
      </c>
      <c r="W20">
        <f>IF(AND('P2O5 SOLID-2 With Formulas'!$S$9="Dairy",'P2O5 SOLID-2 With Formulas'!$H21="in",'P2O5 SOLID-2 With Formulas'!$I21="slurry"),0.8,'Formula Sheet'!X20)</f>
        <v>0</v>
      </c>
      <c r="X20">
        <f>IF(AND('P2O5 SOLID-2 With Formulas'!$S$9="Dairy",'P2O5 SOLID-2 With Formulas'!$H21="br",'P2O5 SOLID-2 With Formulas'!$I21="sludge"),"ERROR",'Formula Sheet'!Y20)</f>
        <v>0</v>
      </c>
      <c r="Y20">
        <f>IF(AND('P2O5 SOLID-2 With Formulas'!$S$9="Dairy",'P2O5 SOLID-2 With Formulas'!$H21="si",'P2O5 SOLID-2 With Formulas'!$I21="sludge"),"ERROR",'Formula Sheet'!Z20)</f>
        <v>0</v>
      </c>
      <c r="Z20">
        <f>IF(AND('P2O5 SOLID-2 With Formulas'!$S$9="Dairy",'P2O5 SOLID-2 With Formulas'!$H21="in",'P2O5 SOLID-2 With Formulas'!$I21="sludge"),"ERROR",'Formula Sheet'!AA20)</f>
        <v>0</v>
      </c>
      <c r="AA20">
        <f>IF(AND('P2O5 SOLID-2 With Formulas'!$S$9="Dairy",'P2O5 SOLID-2 With Formulas'!$H21="br",'P2O5 SOLID-2 With Formulas'!$I21="dmsssp"),0.6,'Formula Sheet'!AB20)</f>
        <v>0</v>
      </c>
      <c r="AB20">
        <f>IF(AND('P2O5 SOLID-2 With Formulas'!$S$9="Dairy",'P2O5 SOLID-2 With Formulas'!$H21="si",'P2O5 SOLID-2 With Formulas'!$I21="dmsssp"),0.75,'Formula Sheet'!AC20)</f>
        <v>0</v>
      </c>
      <c r="AC20">
        <f>IF(AND('P2O5 SOLID-2 With Formulas'!$S$9="Dairy",'P2O5 SOLID-2 With Formulas'!$H21="in",'P2O5 SOLID-2 With Formulas'!$I21="dmsssp"),"ERROR",'Formula Sheet'!AD20)</f>
        <v>0</v>
      </c>
    </row>
    <row r="21" spans="3:29" ht="12.75">
      <c r="C21">
        <f>IF(AND('P2O5 SOLID-2 With Formulas'!$S$9="Swine",'P2O5 SOLID-2 With Formulas'!$H22="br",'P2O5 SOLID-2 With Formulas'!$I22="slurry"),0.7,'Formula Sheet'!D21)</f>
        <v>0</v>
      </c>
      <c r="D21">
        <f>IF(AND('P2O5 SOLID-2 With Formulas'!$S$9="Swine",'P2O5 SOLID-2 With Formulas'!$H22="si",'P2O5 SOLID-2 With Formulas'!$I22="slurry"),0.8,'Formula Sheet'!E21)</f>
        <v>0</v>
      </c>
      <c r="E21">
        <f>IF(AND('P2O5 SOLID-2 With Formulas'!$S$9="Swine",'P2O5 SOLID-2 With Formulas'!$H22="in",'P2O5 SOLID-2 With Formulas'!$I22="slurry"),0.8,'Formula Sheet'!F21)</f>
        <v>0</v>
      </c>
      <c r="F21">
        <f>IF(AND('P2O5 SOLID-2 With Formulas'!$S$9="Swine",'P2O5 SOLID-2 With Formulas'!$H22="in",'P2O5 SOLID-2 With Formulas'!$I22="sludge"),0.8,'Formula Sheet'!G21)</f>
        <v>0</v>
      </c>
      <c r="G21">
        <f>IF(AND('P2O5 SOLID-2 With Formulas'!$S$9="Swine",'P2O5 SOLID-2 With Formulas'!$H22="si",'P2O5 SOLID-2 With Formulas'!$I22="sludge"),0.8,'Formula Sheet'!H21)</f>
        <v>0</v>
      </c>
      <c r="H21">
        <f>IF(AND('P2O5 SOLID-2 With Formulas'!$S$9="Swine",'P2O5 SOLID-2 With Formulas'!$H22="br",'P2O5 SOLID-2 With Formulas'!$I22="sludge"),0.7,'Formula Sheet'!I21)</f>
        <v>0</v>
      </c>
      <c r="I21">
        <f>IF(AND('P2O5 SOLID-2 With Formulas'!S10="Swine",'P2O5 SOLID-2 With Formulas'!H22="br",'P2O5 SOLID-2 With Formulas'!I22="dmsssp"),"ERROR",'Formula Sheet'!J21)</f>
        <v>0</v>
      </c>
      <c r="J21">
        <f>IF(AND('P2O5 SOLID-2 With Formulas'!$S$9="Swine",'P2O5 SOLID-2 With Formulas'!$H22="si",'P2O5 SOLID-2 With Formulas'!$I22="dmsssp"),"ERROR",'Formula Sheet'!K21)</f>
        <v>0</v>
      </c>
      <c r="K21">
        <f>IF(AND('P2O5 SOLID-2 With Formulas'!$S$9="Swine",'P2O5 SOLID-2 With Formulas'!$H22="in",'P2O5 SOLID-2 With Formulas'!$I22="dmsssp"),"ERROR",'Formula Sheet'!L21)</f>
        <v>0</v>
      </c>
      <c r="L21">
        <f>IF(AND('P2O5 SOLID-2 With Formulas'!$S$9="Poultry",'P2O5 SOLID-2 With Formulas'!$H22="br",'P2O5 SOLID-2 With Formulas'!$I22="slurry"),0.7,'Formula Sheet'!M21)</f>
        <v>0</v>
      </c>
      <c r="M21">
        <f>IF(AND('P2O5 SOLID-2 With Formulas'!$S$9="Poultry",'P2O5 SOLID-2 With Formulas'!$H22="si",'P2O5 SOLID-2 With Formulas'!$I22="slurry"),0.8,'Formula Sheet'!N21)</f>
        <v>0</v>
      </c>
      <c r="N21">
        <f>IF(AND('P2O5 SOLID-2 With Formulas'!$S$9="Poultry",'P2O5 SOLID-2 With Formulas'!$H22="in",'P2O5 SOLID-2 With Formulas'!$I22="slurry"),0.8,'Formula Sheet'!O21)</f>
        <v>0</v>
      </c>
      <c r="O21">
        <f>IF(AND('P2O5 SOLID-2 With Formulas'!$S$9="Poultry",'P2O5 SOLID-2 With Formulas'!$H22="br",'P2O5 SOLID-2 With Formulas'!$I22="sludge"),0.7,'Formula Sheet'!P21)</f>
        <v>0</v>
      </c>
      <c r="P21">
        <f>IF(AND('P2O5 SOLID-2 With Formulas'!$S$9="Poultry",'P2O5 SOLID-2 With Formulas'!$H22="si",'P2O5 SOLID-2 With Formulas'!$I22="sludge"),0.8,'Formula Sheet'!Q21)</f>
        <v>0</v>
      </c>
      <c r="Q21">
        <f>IF(AND('P2O5 SOLID-2 With Formulas'!$S$9="Poultry",'P2O5 SOLID-2 With Formulas'!$H22="in",'P2O5 SOLID-2 With Formulas'!$I22="sludge"),0.7,'Formula Sheet'!R21)</f>
        <v>0</v>
      </c>
      <c r="R21">
        <f>IF(AND('P2O5 SOLID-2 With Formulas'!$S$9="Poultry",'P2O5 SOLID-2 With Formulas'!$H22="br",'P2O5 SOLID-2 With Formulas'!$I22="dmsssp"),"ERROR",'Formula Sheet'!S21)</f>
        <v>0</v>
      </c>
      <c r="S21">
        <f>IF(AND('P2O5 SOLID-2 With Formulas'!$S$9="Poultry",'P2O5 SOLID-2 With Formulas'!$H22="si",'P2O5 SOLID-2 With Formulas'!$I22="dmsssp"),"ERROR",'Formula Sheet'!T21)</f>
        <v>0</v>
      </c>
      <c r="T21">
        <f>IF(AND('P2O5 SOLID-2 With Formulas'!$S$9="Poultry",'P2O5 SOLID-2 With Formulas'!$H22="in",'P2O5 SOLID-2 With Formulas'!$I22="dmsssp"),"ERROR",'Formula Sheet'!U21)</f>
        <v>0</v>
      </c>
      <c r="U21">
        <f>IF(AND('P2O5 SOLID-2 With Formulas'!$S$9="Dairy",'P2O5 SOLID-2 With Formulas'!$H22="br",'P2O5 SOLID-2 With Formulas'!$I22="slurry"),0.7,'Formula Sheet'!V21)</f>
        <v>0</v>
      </c>
      <c r="V21">
        <f>IF(AND('P2O5 SOLID-2 With Formulas'!$S$9="Dairy",'P2O5 SOLID-2 With Formulas'!$H22="si",'P2O5 SOLID-2 With Formulas'!$I22="slurry"),0.8,'Formula Sheet'!W21)</f>
        <v>0</v>
      </c>
      <c r="W21">
        <f>IF(AND('P2O5 SOLID-2 With Formulas'!$S$9="Dairy",'P2O5 SOLID-2 With Formulas'!$H22="in",'P2O5 SOLID-2 With Formulas'!$I22="slurry"),0.8,'Formula Sheet'!X21)</f>
        <v>0</v>
      </c>
      <c r="X21">
        <f>IF(AND('P2O5 SOLID-2 With Formulas'!$S$9="Dairy",'P2O5 SOLID-2 With Formulas'!$H22="br",'P2O5 SOLID-2 With Formulas'!$I22="sludge"),"ERROR",'Formula Sheet'!Y21)</f>
        <v>0</v>
      </c>
      <c r="Y21">
        <f>IF(AND('P2O5 SOLID-2 With Formulas'!$S$9="Dairy",'P2O5 SOLID-2 With Formulas'!$H22="si",'P2O5 SOLID-2 With Formulas'!$I22="sludge"),"ERROR",'Formula Sheet'!Z21)</f>
        <v>0</v>
      </c>
      <c r="Z21">
        <f>IF(AND('P2O5 SOLID-2 With Formulas'!$S$9="Dairy",'P2O5 SOLID-2 With Formulas'!$H22="in",'P2O5 SOLID-2 With Formulas'!$I22="sludge"),"ERROR",'Formula Sheet'!AA21)</f>
        <v>0</v>
      </c>
      <c r="AA21">
        <f>IF(AND('P2O5 SOLID-2 With Formulas'!$S$9="Dairy",'P2O5 SOLID-2 With Formulas'!$H22="br",'P2O5 SOLID-2 With Formulas'!$I22="dmsssp"),0.6,'Formula Sheet'!AB21)</f>
        <v>0</v>
      </c>
      <c r="AB21">
        <f>IF(AND('P2O5 SOLID-2 With Formulas'!$S$9="Dairy",'P2O5 SOLID-2 With Formulas'!$H22="si",'P2O5 SOLID-2 With Formulas'!$I22="dmsssp"),0.75,'Formula Sheet'!AC21)</f>
        <v>0</v>
      </c>
      <c r="AC21">
        <f>IF(AND('P2O5 SOLID-2 With Formulas'!$S$9="Dairy",'P2O5 SOLID-2 With Formulas'!$H22="in",'P2O5 SOLID-2 With Formulas'!$I22="dmsssp"),"ERROR",'Formula Sheet'!AD21)</f>
        <v>0</v>
      </c>
    </row>
    <row r="22" spans="1:29" ht="12.75">
      <c r="A22" t="s">
        <v>88</v>
      </c>
      <c r="C22">
        <f>IF(AND('P2O5 SOLID-2 With Formulas'!$S$9="Swine",'P2O5 SOLID-2 With Formulas'!$H23="br",'P2O5 SOLID-2 With Formulas'!$I23="slurry"),0.7,'Formula Sheet'!D22)</f>
        <v>0</v>
      </c>
      <c r="D22">
        <f>IF(AND('P2O5 SOLID-2 With Formulas'!$S$9="Swine",'P2O5 SOLID-2 With Formulas'!$H23="si",'P2O5 SOLID-2 With Formulas'!$I23="slurry"),0.8,'Formula Sheet'!E22)</f>
        <v>0</v>
      </c>
      <c r="E22">
        <f>IF(AND('P2O5 SOLID-2 With Formulas'!$S$9="Swine",'P2O5 SOLID-2 With Formulas'!$H23="in",'P2O5 SOLID-2 With Formulas'!$I23="slurry"),0.8,'Formula Sheet'!F22)</f>
        <v>0</v>
      </c>
      <c r="F22">
        <f>IF(AND('P2O5 SOLID-2 With Formulas'!$S$9="Swine",'P2O5 SOLID-2 With Formulas'!$H23="in",'P2O5 SOLID-2 With Formulas'!$I23="sludge"),0.8,'Formula Sheet'!G22)</f>
        <v>0</v>
      </c>
      <c r="G22">
        <f>IF(AND('P2O5 SOLID-2 With Formulas'!$S$9="Swine",'P2O5 SOLID-2 With Formulas'!$H23="si",'P2O5 SOLID-2 With Formulas'!$I23="sludge"),0.8,'Formula Sheet'!H22)</f>
        <v>0</v>
      </c>
      <c r="H22">
        <f>IF(AND('P2O5 SOLID-2 With Formulas'!$S$9="Swine",'P2O5 SOLID-2 With Formulas'!$H23="br",'P2O5 SOLID-2 With Formulas'!$I23="sludge"),0.7,'Formula Sheet'!I22)</f>
        <v>0</v>
      </c>
      <c r="I22">
        <f>IF(AND('P2O5 SOLID-2 With Formulas'!S11="Swine",'P2O5 SOLID-2 With Formulas'!H23="br",'P2O5 SOLID-2 With Formulas'!I23="dmsssp"),"ERROR",'Formula Sheet'!J22)</f>
        <v>0</v>
      </c>
      <c r="J22">
        <f>IF(AND('P2O5 SOLID-2 With Formulas'!$S$9="Swine",'P2O5 SOLID-2 With Formulas'!$H23="si",'P2O5 SOLID-2 With Formulas'!$I23="dmsssp"),"ERROR",'Formula Sheet'!K22)</f>
        <v>0</v>
      </c>
      <c r="K22">
        <f>IF(AND('P2O5 SOLID-2 With Formulas'!$S$9="Swine",'P2O5 SOLID-2 With Formulas'!$H23="in",'P2O5 SOLID-2 With Formulas'!$I23="dmsssp"),"ERROR",'Formula Sheet'!L22)</f>
        <v>0</v>
      </c>
      <c r="L22">
        <f>IF(AND('P2O5 SOLID-2 With Formulas'!$S$9="Poultry",'P2O5 SOLID-2 With Formulas'!$H23="br",'P2O5 SOLID-2 With Formulas'!$I23="slurry"),0.7,'Formula Sheet'!M22)</f>
        <v>0</v>
      </c>
      <c r="M22">
        <f>IF(AND('P2O5 SOLID-2 With Formulas'!$S$9="Poultry",'P2O5 SOLID-2 With Formulas'!$H23="si",'P2O5 SOLID-2 With Formulas'!$I23="slurry"),0.8,'Formula Sheet'!N22)</f>
        <v>0</v>
      </c>
      <c r="N22">
        <f>IF(AND('P2O5 SOLID-2 With Formulas'!$S$9="Poultry",'P2O5 SOLID-2 With Formulas'!$H23="in",'P2O5 SOLID-2 With Formulas'!$I23="slurry"),0.8,'Formula Sheet'!O22)</f>
        <v>0</v>
      </c>
      <c r="O22">
        <f>IF(AND('P2O5 SOLID-2 With Formulas'!$S$9="Poultry",'P2O5 SOLID-2 With Formulas'!$H23="br",'P2O5 SOLID-2 With Formulas'!$I23="sludge"),0.7,'Formula Sheet'!P22)</f>
        <v>0</v>
      </c>
      <c r="P22">
        <f>IF(AND('P2O5 SOLID-2 With Formulas'!$S$9="Poultry",'P2O5 SOLID-2 With Formulas'!$H23="si",'P2O5 SOLID-2 With Formulas'!$I23="sludge"),0.8,'Formula Sheet'!Q22)</f>
        <v>0</v>
      </c>
      <c r="Q22">
        <f>IF(AND('P2O5 SOLID-2 With Formulas'!$S$9="Poultry",'P2O5 SOLID-2 With Formulas'!$H23="in",'P2O5 SOLID-2 With Formulas'!$I23="sludge"),0.7,'Formula Sheet'!R22)</f>
        <v>0</v>
      </c>
      <c r="R22">
        <f>IF(AND('P2O5 SOLID-2 With Formulas'!$S$9="Poultry",'P2O5 SOLID-2 With Formulas'!$H23="br",'P2O5 SOLID-2 With Formulas'!$I23="dmsssp"),"ERROR",'Formula Sheet'!S22)</f>
        <v>0</v>
      </c>
      <c r="S22">
        <f>IF(AND('P2O5 SOLID-2 With Formulas'!$S$9="Poultry",'P2O5 SOLID-2 With Formulas'!$H23="si",'P2O5 SOLID-2 With Formulas'!$I23="dmsssp"),"ERROR",'Formula Sheet'!T22)</f>
        <v>0</v>
      </c>
      <c r="T22">
        <f>IF(AND('P2O5 SOLID-2 With Formulas'!$S$9="Poultry",'P2O5 SOLID-2 With Formulas'!$H23="in",'P2O5 SOLID-2 With Formulas'!$I23="dmsssp"),"ERROR",'Formula Sheet'!U22)</f>
        <v>0</v>
      </c>
      <c r="U22">
        <f>IF(AND('P2O5 SOLID-2 With Formulas'!$S$9="Dairy",'P2O5 SOLID-2 With Formulas'!$H23="br",'P2O5 SOLID-2 With Formulas'!$I23="slurry"),0.7,'Formula Sheet'!V22)</f>
        <v>0</v>
      </c>
      <c r="V22">
        <f>IF(AND('P2O5 SOLID-2 With Formulas'!$S$9="Dairy",'P2O5 SOLID-2 With Formulas'!$H23="si",'P2O5 SOLID-2 With Formulas'!$I23="slurry"),0.8,'Formula Sheet'!W22)</f>
        <v>0</v>
      </c>
      <c r="W22">
        <f>IF(AND('P2O5 SOLID-2 With Formulas'!$S$9="Dairy",'P2O5 SOLID-2 With Formulas'!$H23="in",'P2O5 SOLID-2 With Formulas'!$I23="slurry"),0.8,'Formula Sheet'!X22)</f>
        <v>0</v>
      </c>
      <c r="X22">
        <f>IF(AND('P2O5 SOLID-2 With Formulas'!$S$9="Dairy",'P2O5 SOLID-2 With Formulas'!$H23="br",'P2O5 SOLID-2 With Formulas'!$I23="sludge"),"ERROR",'Formula Sheet'!Y22)</f>
        <v>0</v>
      </c>
      <c r="Y22">
        <f>IF(AND('P2O5 SOLID-2 With Formulas'!$S$9="Dairy",'P2O5 SOLID-2 With Formulas'!$H23="si",'P2O5 SOLID-2 With Formulas'!$I23="sludge"),"ERROR",'Formula Sheet'!Z22)</f>
        <v>0</v>
      </c>
      <c r="Z22">
        <f>IF(AND('P2O5 SOLID-2 With Formulas'!$S$9="Dairy",'P2O5 SOLID-2 With Formulas'!$H23="in",'P2O5 SOLID-2 With Formulas'!$I23="sludge"),"ERROR",'Formula Sheet'!AA22)</f>
        <v>0</v>
      </c>
      <c r="AA22">
        <f>IF(AND('P2O5 SOLID-2 With Formulas'!$S$9="Dairy",'P2O5 SOLID-2 With Formulas'!$H23="br",'P2O5 SOLID-2 With Formulas'!$I23="dmsssp"),0.6,'Formula Sheet'!AB22)</f>
        <v>0</v>
      </c>
      <c r="AB22">
        <f>IF(AND('P2O5 SOLID-2 With Formulas'!$S$9="Dairy",'P2O5 SOLID-2 With Formulas'!$H23="si",'P2O5 SOLID-2 With Formulas'!$I23="dmsssp"),0.75,'Formula Sheet'!AC22)</f>
        <v>0</v>
      </c>
      <c r="AC22">
        <f>IF(AND('P2O5 SOLID-2 With Formulas'!$S$9="Dairy",'P2O5 SOLID-2 With Formulas'!$H23="in",'P2O5 SOLID-2 With Formulas'!$I23="dmsssp"),"ERROR",'Formula Sheet'!AD22)</f>
        <v>0</v>
      </c>
    </row>
    <row r="23" spans="1:29" ht="12.75">
      <c r="A23" t="s">
        <v>92</v>
      </c>
      <c r="C23">
        <f>IF(AND('P2O5 SOLID-2 With Formulas'!$S$9="Swine",'P2O5 SOLID-2 With Formulas'!$H24="br",'P2O5 SOLID-2 With Formulas'!$I24="slurry"),0.7,'Formula Sheet'!D23)</f>
        <v>0</v>
      </c>
      <c r="D23">
        <f>IF(AND('P2O5 SOLID-2 With Formulas'!$S$9="Swine",'P2O5 SOLID-2 With Formulas'!$H24="si",'P2O5 SOLID-2 With Formulas'!$I24="slurry"),0.8,'Formula Sheet'!E23)</f>
        <v>0</v>
      </c>
      <c r="E23">
        <f>IF(AND('P2O5 SOLID-2 With Formulas'!$S$9="Swine",'P2O5 SOLID-2 With Formulas'!$H24="in",'P2O5 SOLID-2 With Formulas'!$I24="slurry"),0.8,'Formula Sheet'!F23)</f>
        <v>0</v>
      </c>
      <c r="F23">
        <f>IF(AND('P2O5 SOLID-2 With Formulas'!$S$9="Swine",'P2O5 SOLID-2 With Formulas'!$H24="in",'P2O5 SOLID-2 With Formulas'!$I24="sludge"),0.8,'Formula Sheet'!G23)</f>
        <v>0</v>
      </c>
      <c r="G23">
        <f>IF(AND('P2O5 SOLID-2 With Formulas'!$S$9="Swine",'P2O5 SOLID-2 With Formulas'!$H24="si",'P2O5 SOLID-2 With Formulas'!$I24="sludge"),0.8,'Formula Sheet'!H23)</f>
        <v>0</v>
      </c>
      <c r="H23">
        <f>IF(AND('P2O5 SOLID-2 With Formulas'!$S$9="Swine",'P2O5 SOLID-2 With Formulas'!$H24="br",'P2O5 SOLID-2 With Formulas'!$I24="sludge"),0.7,'Formula Sheet'!I23)</f>
        <v>0</v>
      </c>
      <c r="I23">
        <f>IF(AND('P2O5 SOLID-2 With Formulas'!S12="Swine",'P2O5 SOLID-2 With Formulas'!H24="br",'P2O5 SOLID-2 With Formulas'!I24="dmsssp"),"ERROR",'Formula Sheet'!J23)</f>
        <v>0</v>
      </c>
      <c r="J23">
        <f>IF(AND('P2O5 SOLID-2 With Formulas'!$S$9="Swine",'P2O5 SOLID-2 With Formulas'!$H24="si",'P2O5 SOLID-2 With Formulas'!$I24="dmsssp"),"ERROR",'Formula Sheet'!K23)</f>
        <v>0</v>
      </c>
      <c r="K23">
        <f>IF(AND('P2O5 SOLID-2 With Formulas'!$S$9="Swine",'P2O5 SOLID-2 With Formulas'!$H24="in",'P2O5 SOLID-2 With Formulas'!$I24="dmsssp"),"ERROR",'Formula Sheet'!L23)</f>
        <v>0</v>
      </c>
      <c r="L23">
        <f>IF(AND('P2O5 SOLID-2 With Formulas'!$S$9="Poultry",'P2O5 SOLID-2 With Formulas'!$H24="br",'P2O5 SOLID-2 With Formulas'!$I24="slurry"),0.7,'Formula Sheet'!M23)</f>
        <v>0</v>
      </c>
      <c r="M23">
        <f>IF(AND('P2O5 SOLID-2 With Formulas'!$S$9="Poultry",'P2O5 SOLID-2 With Formulas'!$H24="si",'P2O5 SOLID-2 With Formulas'!$I24="slurry"),0.8,'Formula Sheet'!N23)</f>
        <v>0</v>
      </c>
      <c r="N23">
        <f>IF(AND('P2O5 SOLID-2 With Formulas'!$S$9="Poultry",'P2O5 SOLID-2 With Formulas'!$H24="in",'P2O5 SOLID-2 With Formulas'!$I24="slurry"),0.8,'Formula Sheet'!O23)</f>
        <v>0</v>
      </c>
      <c r="O23">
        <f>IF(AND('P2O5 SOLID-2 With Formulas'!$S$9="Poultry",'P2O5 SOLID-2 With Formulas'!$H24="br",'P2O5 SOLID-2 With Formulas'!$I24="sludge"),0.7,'Formula Sheet'!P23)</f>
        <v>0</v>
      </c>
      <c r="P23">
        <f>IF(AND('P2O5 SOLID-2 With Formulas'!$S$9="Poultry",'P2O5 SOLID-2 With Formulas'!$H24="si",'P2O5 SOLID-2 With Formulas'!$I24="sludge"),0.8,'Formula Sheet'!Q23)</f>
        <v>0</v>
      </c>
      <c r="Q23">
        <f>IF(AND('P2O5 SOLID-2 With Formulas'!$S$9="Poultry",'P2O5 SOLID-2 With Formulas'!$H24="in",'P2O5 SOLID-2 With Formulas'!$I24="sludge"),0.7,'Formula Sheet'!R23)</f>
        <v>0</v>
      </c>
      <c r="R23">
        <f>IF(AND('P2O5 SOLID-2 With Formulas'!$S$9="Poultry",'P2O5 SOLID-2 With Formulas'!$H24="br",'P2O5 SOLID-2 With Formulas'!$I24="dmsssp"),"ERROR",'Formula Sheet'!S23)</f>
        <v>0</v>
      </c>
      <c r="S23">
        <f>IF(AND('P2O5 SOLID-2 With Formulas'!$S$9="Poultry",'P2O5 SOLID-2 With Formulas'!$H24="si",'P2O5 SOLID-2 With Formulas'!$I24="dmsssp"),"ERROR",'Formula Sheet'!T23)</f>
        <v>0</v>
      </c>
      <c r="T23">
        <f>IF(AND('P2O5 SOLID-2 With Formulas'!$S$9="Poultry",'P2O5 SOLID-2 With Formulas'!$H24="in",'P2O5 SOLID-2 With Formulas'!$I24="dmsssp"),"ERROR",'Formula Sheet'!U23)</f>
        <v>0</v>
      </c>
      <c r="U23">
        <f>IF(AND('P2O5 SOLID-2 With Formulas'!$S$9="Dairy",'P2O5 SOLID-2 With Formulas'!$H24="br",'P2O5 SOLID-2 With Formulas'!$I24="slurry"),0.7,'Formula Sheet'!V23)</f>
        <v>0</v>
      </c>
      <c r="V23">
        <f>IF(AND('P2O5 SOLID-2 With Formulas'!$S$9="Dairy",'P2O5 SOLID-2 With Formulas'!$H24="si",'P2O5 SOLID-2 With Formulas'!$I24="slurry"),0.8,'Formula Sheet'!W23)</f>
        <v>0</v>
      </c>
      <c r="W23">
        <f>IF(AND('P2O5 SOLID-2 With Formulas'!$S$9="Dairy",'P2O5 SOLID-2 With Formulas'!$H24="in",'P2O5 SOLID-2 With Formulas'!$I24="slurry"),0.8,'Formula Sheet'!X23)</f>
        <v>0</v>
      </c>
      <c r="X23">
        <f>IF(AND('P2O5 SOLID-2 With Formulas'!$S$9="Dairy",'P2O5 SOLID-2 With Formulas'!$H24="br",'P2O5 SOLID-2 With Formulas'!$I24="sludge"),"ERROR",'Formula Sheet'!Y23)</f>
        <v>0</v>
      </c>
      <c r="Y23">
        <f>IF(AND('P2O5 SOLID-2 With Formulas'!$S$9="Dairy",'P2O5 SOLID-2 With Formulas'!$H24="si",'P2O5 SOLID-2 With Formulas'!$I24="sludge"),"ERROR",'Formula Sheet'!Z23)</f>
        <v>0</v>
      </c>
      <c r="Z23">
        <f>IF(AND('P2O5 SOLID-2 With Formulas'!$S$9="Dairy",'P2O5 SOLID-2 With Formulas'!$H24="in",'P2O5 SOLID-2 With Formulas'!$I24="sludge"),"ERROR",'Formula Sheet'!AA23)</f>
        <v>0</v>
      </c>
      <c r="AA23">
        <f>IF(AND('P2O5 SOLID-2 With Formulas'!$S$9="Dairy",'P2O5 SOLID-2 With Formulas'!$H24="br",'P2O5 SOLID-2 With Formulas'!$I24="dmsssp"),0.6,'Formula Sheet'!AB23)</f>
        <v>0</v>
      </c>
      <c r="AB23">
        <f>IF(AND('P2O5 SOLID-2 With Formulas'!$S$9="Dairy",'P2O5 SOLID-2 With Formulas'!$H24="si",'P2O5 SOLID-2 With Formulas'!$I24="dmsssp"),0.75,'Formula Sheet'!AC23)</f>
        <v>0</v>
      </c>
      <c r="AC23">
        <f>IF(AND('P2O5 SOLID-2 With Formulas'!$S$9="Dairy",'P2O5 SOLID-2 With Formulas'!$H24="in",'P2O5 SOLID-2 With Formulas'!$I24="dmsssp"),"ERROR",'Formula Sheet'!AD23)</f>
        <v>0</v>
      </c>
    </row>
    <row r="24" spans="3:29" ht="12.75">
      <c r="C24">
        <f>IF(AND('P2O5 SOLID-2 With Formulas'!$S$9="Swine",'P2O5 SOLID-2 With Formulas'!$H25="br",'P2O5 SOLID-2 With Formulas'!$I25="slurry"),0.7,'Formula Sheet'!D24)</f>
        <v>0</v>
      </c>
      <c r="D24">
        <f>IF(AND('P2O5 SOLID-2 With Formulas'!$S$9="Swine",'P2O5 SOLID-2 With Formulas'!$H25="si",'P2O5 SOLID-2 With Formulas'!$I25="slurry"),0.8,'Formula Sheet'!E24)</f>
        <v>0</v>
      </c>
      <c r="E24">
        <f>IF(AND('P2O5 SOLID-2 With Formulas'!$S$9="Swine",'P2O5 SOLID-2 With Formulas'!$H25="in",'P2O5 SOLID-2 With Formulas'!$I25="slurry"),0.8,'Formula Sheet'!F24)</f>
        <v>0</v>
      </c>
      <c r="F24">
        <f>IF(AND('P2O5 SOLID-2 With Formulas'!$S$9="Swine",'P2O5 SOLID-2 With Formulas'!$H25="in",'P2O5 SOLID-2 With Formulas'!$I25="sludge"),0.8,'Formula Sheet'!G24)</f>
        <v>0</v>
      </c>
      <c r="G24">
        <f>IF(AND('P2O5 SOLID-2 With Formulas'!$S$9="Swine",'P2O5 SOLID-2 With Formulas'!$H25="si",'P2O5 SOLID-2 With Formulas'!$I25="sludge"),0.8,'Formula Sheet'!H24)</f>
        <v>0</v>
      </c>
      <c r="H24">
        <f>IF(AND('P2O5 SOLID-2 With Formulas'!$S$9="Swine",'P2O5 SOLID-2 With Formulas'!$H25="br",'P2O5 SOLID-2 With Formulas'!$I25="sludge"),0.7,'Formula Sheet'!I24)</f>
        <v>0</v>
      </c>
      <c r="I24">
        <f>IF(AND('P2O5 SOLID-2 With Formulas'!S13="Swine",'P2O5 SOLID-2 With Formulas'!H25="br",'P2O5 SOLID-2 With Formulas'!I25="dmsssp"),"ERROR",'Formula Sheet'!J24)</f>
        <v>0</v>
      </c>
      <c r="J24">
        <f>IF(AND('P2O5 SOLID-2 With Formulas'!$S$9="Swine",'P2O5 SOLID-2 With Formulas'!$H25="si",'P2O5 SOLID-2 With Formulas'!$I25="dmsssp"),"ERROR",'Formula Sheet'!K24)</f>
        <v>0</v>
      </c>
      <c r="K24">
        <f>IF(AND('P2O5 SOLID-2 With Formulas'!$S$9="Swine",'P2O5 SOLID-2 With Formulas'!$H25="in",'P2O5 SOLID-2 With Formulas'!$I25="dmsssp"),"ERROR",'Formula Sheet'!L24)</f>
        <v>0</v>
      </c>
      <c r="L24">
        <f>IF(AND('P2O5 SOLID-2 With Formulas'!$S$9="Poultry",'P2O5 SOLID-2 With Formulas'!$H25="br",'P2O5 SOLID-2 With Formulas'!$I25="slurry"),0.7,'Formula Sheet'!M24)</f>
        <v>0</v>
      </c>
      <c r="M24">
        <f>IF(AND('P2O5 SOLID-2 With Formulas'!$S$9="Poultry",'P2O5 SOLID-2 With Formulas'!$H25="si",'P2O5 SOLID-2 With Formulas'!$I25="slurry"),0.8,'Formula Sheet'!N24)</f>
        <v>0</v>
      </c>
      <c r="N24">
        <f>IF(AND('P2O5 SOLID-2 With Formulas'!$S$9="Poultry",'P2O5 SOLID-2 With Formulas'!$H25="in",'P2O5 SOLID-2 With Formulas'!$I25="slurry"),0.8,'Formula Sheet'!O24)</f>
        <v>0</v>
      </c>
      <c r="O24">
        <f>IF(AND('P2O5 SOLID-2 With Formulas'!$S$9="Poultry",'P2O5 SOLID-2 With Formulas'!$H25="br",'P2O5 SOLID-2 With Formulas'!$I25="sludge"),0.7,'Formula Sheet'!P24)</f>
        <v>0</v>
      </c>
      <c r="P24">
        <f>IF(AND('P2O5 SOLID-2 With Formulas'!$S$9="Poultry",'P2O5 SOLID-2 With Formulas'!$H25="si",'P2O5 SOLID-2 With Formulas'!$I25="sludge"),0.8,'Formula Sheet'!Q24)</f>
        <v>0</v>
      </c>
      <c r="Q24">
        <f>IF(AND('P2O5 SOLID-2 With Formulas'!$S$9="Poultry",'P2O5 SOLID-2 With Formulas'!$H25="in",'P2O5 SOLID-2 With Formulas'!$I25="sludge"),0.7,'Formula Sheet'!R24)</f>
        <v>0</v>
      </c>
      <c r="R24">
        <f>IF(AND('P2O5 SOLID-2 With Formulas'!$S$9="Poultry",'P2O5 SOLID-2 With Formulas'!$H25="br",'P2O5 SOLID-2 With Formulas'!$I25="dmsssp"),"ERROR",'Formula Sheet'!S24)</f>
        <v>0</v>
      </c>
      <c r="S24">
        <f>IF(AND('P2O5 SOLID-2 With Formulas'!$S$9="Poultry",'P2O5 SOLID-2 With Formulas'!$H25="si",'P2O5 SOLID-2 With Formulas'!$I25="dmsssp"),"ERROR",'Formula Sheet'!T24)</f>
        <v>0</v>
      </c>
      <c r="T24">
        <f>IF(AND('P2O5 SOLID-2 With Formulas'!$S$9="Poultry",'P2O5 SOLID-2 With Formulas'!$H25="in",'P2O5 SOLID-2 With Formulas'!$I25="dmsssp"),"ERROR",'Formula Sheet'!U24)</f>
        <v>0</v>
      </c>
      <c r="U24">
        <f>IF(AND('P2O5 SOLID-2 With Formulas'!$S$9="Dairy",'P2O5 SOLID-2 With Formulas'!$H25="br",'P2O5 SOLID-2 With Formulas'!$I25="slurry"),0.7,'Formula Sheet'!V24)</f>
        <v>0</v>
      </c>
      <c r="V24">
        <f>IF(AND('P2O5 SOLID-2 With Formulas'!$S$9="Dairy",'P2O5 SOLID-2 With Formulas'!$H25="si",'P2O5 SOLID-2 With Formulas'!$I25="slurry"),0.8,'Formula Sheet'!W24)</f>
        <v>0</v>
      </c>
      <c r="W24">
        <f>IF(AND('P2O5 SOLID-2 With Formulas'!$S$9="Dairy",'P2O5 SOLID-2 With Formulas'!$H25="in",'P2O5 SOLID-2 With Formulas'!$I25="slurry"),0.8,'Formula Sheet'!X24)</f>
        <v>0</v>
      </c>
      <c r="X24">
        <f>IF(AND('P2O5 SOLID-2 With Formulas'!$S$9="Dairy",'P2O5 SOLID-2 With Formulas'!$H25="br",'P2O5 SOLID-2 With Formulas'!$I25="sludge"),"ERROR",'Formula Sheet'!Y24)</f>
        <v>0</v>
      </c>
      <c r="Y24">
        <f>IF(AND('P2O5 SOLID-2 With Formulas'!$S$9="Dairy",'P2O5 SOLID-2 With Formulas'!$H25="si",'P2O5 SOLID-2 With Formulas'!$I25="sludge"),"ERROR",'Formula Sheet'!Z24)</f>
        <v>0</v>
      </c>
      <c r="Z24">
        <f>IF(AND('P2O5 SOLID-2 With Formulas'!$S$9="Dairy",'P2O5 SOLID-2 With Formulas'!$H25="in",'P2O5 SOLID-2 With Formulas'!$I25="sludge"),"ERROR",'Formula Sheet'!AA24)</f>
        <v>0</v>
      </c>
      <c r="AA24">
        <f>IF(AND('P2O5 SOLID-2 With Formulas'!$S$9="Dairy",'P2O5 SOLID-2 With Formulas'!$H25="br",'P2O5 SOLID-2 With Formulas'!$I25="dmsssp"),0.6,'Formula Sheet'!AB24)</f>
        <v>0</v>
      </c>
      <c r="AB24">
        <f>IF(AND('P2O5 SOLID-2 With Formulas'!$S$9="Dairy",'P2O5 SOLID-2 With Formulas'!$H25="si",'P2O5 SOLID-2 With Formulas'!$I25="dmsssp"),0.75,'Formula Sheet'!AC24)</f>
        <v>0</v>
      </c>
      <c r="AC24">
        <f>IF(AND('P2O5 SOLID-2 With Formulas'!$S$9="Dairy",'P2O5 SOLID-2 With Formulas'!$H25="in",'P2O5 SOLID-2 With Formulas'!$I25="dmsssp"),"ERROR",'Formula Sheet'!AD24)</f>
        <v>0</v>
      </c>
    </row>
    <row r="25" spans="3:29" ht="12.75">
      <c r="C25">
        <f>IF(AND('P2O5 SOLID-2 With Formulas'!$S$9="Swine",'P2O5 SOLID-2 With Formulas'!$H26="br",'P2O5 SOLID-2 With Formulas'!$I26="slurry"),0.7,'Formula Sheet'!D25)</f>
        <v>0</v>
      </c>
      <c r="D25">
        <f>IF(AND('P2O5 SOLID-2 With Formulas'!$S$9="Swine",'P2O5 SOLID-2 With Formulas'!$H26="si",'P2O5 SOLID-2 With Formulas'!$I26="slurry"),0.8,'Formula Sheet'!E25)</f>
        <v>0</v>
      </c>
      <c r="E25">
        <f>IF(AND('P2O5 SOLID-2 With Formulas'!$S$9="Swine",'P2O5 SOLID-2 With Formulas'!$H26="in",'P2O5 SOLID-2 With Formulas'!$I26="slurry"),0.8,'Formula Sheet'!F25)</f>
        <v>0</v>
      </c>
      <c r="F25">
        <f>IF(AND('P2O5 SOLID-2 With Formulas'!$S$9="Swine",'P2O5 SOLID-2 With Formulas'!$H26="in",'P2O5 SOLID-2 With Formulas'!$I26="sludge"),0.8,'Formula Sheet'!G25)</f>
        <v>0</v>
      </c>
      <c r="G25">
        <f>IF(AND('P2O5 SOLID-2 With Formulas'!$S$9="Swine",'P2O5 SOLID-2 With Formulas'!$H26="si",'P2O5 SOLID-2 With Formulas'!$I26="sludge"),0.8,'Formula Sheet'!H25)</f>
        <v>0</v>
      </c>
      <c r="H25">
        <f>IF(AND('P2O5 SOLID-2 With Formulas'!$S$9="Swine",'P2O5 SOLID-2 With Formulas'!$H26="br",'P2O5 SOLID-2 With Formulas'!$I26="sludge"),0.7,'Formula Sheet'!I25)</f>
        <v>0</v>
      </c>
      <c r="I25">
        <f>IF(AND('P2O5 SOLID-2 With Formulas'!S14="Swine",'P2O5 SOLID-2 With Formulas'!H26="br",'P2O5 SOLID-2 With Formulas'!I26="dmsssp"),"ERROR",'Formula Sheet'!J25)</f>
        <v>0</v>
      </c>
      <c r="J25">
        <f>IF(AND('P2O5 SOLID-2 With Formulas'!$S$9="Swine",'P2O5 SOLID-2 With Formulas'!$H26="si",'P2O5 SOLID-2 With Formulas'!$I26="dmsssp"),"ERROR",'Formula Sheet'!K25)</f>
        <v>0</v>
      </c>
      <c r="K25">
        <f>IF(AND('P2O5 SOLID-2 With Formulas'!$S$9="Swine",'P2O5 SOLID-2 With Formulas'!$H26="in",'P2O5 SOLID-2 With Formulas'!$I26="dmsssp"),"ERROR",'Formula Sheet'!L25)</f>
        <v>0</v>
      </c>
      <c r="L25">
        <f>IF(AND('P2O5 SOLID-2 With Formulas'!$S$9="Poultry",'P2O5 SOLID-2 With Formulas'!$H26="br",'P2O5 SOLID-2 With Formulas'!$I26="slurry"),0.7,'Formula Sheet'!M25)</f>
        <v>0</v>
      </c>
      <c r="M25">
        <f>IF(AND('P2O5 SOLID-2 With Formulas'!$S$9="Poultry",'P2O5 SOLID-2 With Formulas'!$H26="si",'P2O5 SOLID-2 With Formulas'!$I26="slurry"),0.8,'Formula Sheet'!N25)</f>
        <v>0</v>
      </c>
      <c r="N25">
        <f>IF(AND('P2O5 SOLID-2 With Formulas'!$S$9="Poultry",'P2O5 SOLID-2 With Formulas'!$H26="in",'P2O5 SOLID-2 With Formulas'!$I26="slurry"),0.8,'Formula Sheet'!O25)</f>
        <v>0</v>
      </c>
      <c r="O25">
        <f>IF(AND('P2O5 SOLID-2 With Formulas'!$S$9="Poultry",'P2O5 SOLID-2 With Formulas'!$H26="br",'P2O5 SOLID-2 With Formulas'!$I26="sludge"),0.7,'Formula Sheet'!P25)</f>
        <v>0</v>
      </c>
      <c r="P25">
        <f>IF(AND('P2O5 SOLID-2 With Formulas'!$S$9="Poultry",'P2O5 SOLID-2 With Formulas'!$H26="si",'P2O5 SOLID-2 With Formulas'!$I26="sludge"),0.8,'Formula Sheet'!Q25)</f>
        <v>0</v>
      </c>
      <c r="Q25">
        <f>IF(AND('P2O5 SOLID-2 With Formulas'!$S$9="Poultry",'P2O5 SOLID-2 With Formulas'!$H26="in",'P2O5 SOLID-2 With Formulas'!$I26="sludge"),0.7,'Formula Sheet'!R25)</f>
        <v>0</v>
      </c>
      <c r="R25">
        <f>IF(AND('P2O5 SOLID-2 With Formulas'!$S$9="Poultry",'P2O5 SOLID-2 With Formulas'!$H26="br",'P2O5 SOLID-2 With Formulas'!$I26="dmsssp"),"ERROR",'Formula Sheet'!S25)</f>
        <v>0</v>
      </c>
      <c r="S25">
        <f>IF(AND('P2O5 SOLID-2 With Formulas'!$S$9="Poultry",'P2O5 SOLID-2 With Formulas'!$H26="si",'P2O5 SOLID-2 With Formulas'!$I26="dmsssp"),"ERROR",'Formula Sheet'!T25)</f>
        <v>0</v>
      </c>
      <c r="T25">
        <f>IF(AND('P2O5 SOLID-2 With Formulas'!$S$9="Poultry",'P2O5 SOLID-2 With Formulas'!$H26="in",'P2O5 SOLID-2 With Formulas'!$I26="dmsssp"),"ERROR",'Formula Sheet'!U25)</f>
        <v>0</v>
      </c>
      <c r="U25">
        <f>IF(AND('P2O5 SOLID-2 With Formulas'!$S$9="Dairy",'P2O5 SOLID-2 With Formulas'!$H26="br",'P2O5 SOLID-2 With Formulas'!$I26="slurry"),0.7,'Formula Sheet'!V25)</f>
        <v>0</v>
      </c>
      <c r="V25">
        <f>IF(AND('P2O5 SOLID-2 With Formulas'!$S$9="Dairy",'P2O5 SOLID-2 With Formulas'!$H26="si",'P2O5 SOLID-2 With Formulas'!$I26="slurry"),0.8,'Formula Sheet'!W25)</f>
        <v>0</v>
      </c>
      <c r="W25">
        <f>IF(AND('P2O5 SOLID-2 With Formulas'!$S$9="Dairy",'P2O5 SOLID-2 With Formulas'!$H26="in",'P2O5 SOLID-2 With Formulas'!$I26="slurry"),0.8,'Formula Sheet'!X25)</f>
        <v>0</v>
      </c>
      <c r="X25">
        <f>IF(AND('P2O5 SOLID-2 With Formulas'!$S$9="Dairy",'P2O5 SOLID-2 With Formulas'!$H26="br",'P2O5 SOLID-2 With Formulas'!$I26="sludge"),"ERROR",'Formula Sheet'!Y25)</f>
        <v>0</v>
      </c>
      <c r="Y25">
        <f>IF(AND('P2O5 SOLID-2 With Formulas'!$S$9="Dairy",'P2O5 SOLID-2 With Formulas'!$H26="si",'P2O5 SOLID-2 With Formulas'!$I26="sludge"),"ERROR",'Formula Sheet'!Z25)</f>
        <v>0</v>
      </c>
      <c r="Z25">
        <f>IF(AND('P2O5 SOLID-2 With Formulas'!$S$9="Dairy",'P2O5 SOLID-2 With Formulas'!$H26="in",'P2O5 SOLID-2 With Formulas'!$I26="sludge"),"ERROR",'Formula Sheet'!AA25)</f>
        <v>0</v>
      </c>
      <c r="AA25">
        <f>IF(AND('P2O5 SOLID-2 With Formulas'!$S$9="Dairy",'P2O5 SOLID-2 With Formulas'!$H26="br",'P2O5 SOLID-2 With Formulas'!$I26="dmsssp"),0.6,'Formula Sheet'!AB25)</f>
        <v>0</v>
      </c>
      <c r="AB25">
        <f>IF(AND('P2O5 SOLID-2 With Formulas'!$S$9="Dairy",'P2O5 SOLID-2 With Formulas'!$H26="si",'P2O5 SOLID-2 With Formulas'!$I26="dmsssp"),0.75,'Formula Sheet'!AC25)</f>
        <v>0</v>
      </c>
      <c r="AC25">
        <f>IF(AND('P2O5 SOLID-2 With Formulas'!$S$9="Dairy",'P2O5 SOLID-2 With Formulas'!$H26="in",'P2O5 SOLID-2 With Formulas'!$I26="dmsssp"),"ERROR",'Formula Sheet'!AD25)</f>
        <v>0</v>
      </c>
    </row>
    <row r="26" spans="3:29" ht="12.75">
      <c r="C26">
        <f>IF(AND('P2O5 SOLID-2 With Formulas'!$S$9="Swine",'P2O5 SOLID-2 With Formulas'!$H27="br",'P2O5 SOLID-2 With Formulas'!$I27="slurry"),0.7,'Formula Sheet'!D26)</f>
        <v>0</v>
      </c>
      <c r="D26">
        <f>IF(AND('P2O5 SOLID-2 With Formulas'!$S$9="Swine",'P2O5 SOLID-2 With Formulas'!$H27="si",'P2O5 SOLID-2 With Formulas'!$I27="slurry"),0.8,'Formula Sheet'!E26)</f>
        <v>0</v>
      </c>
      <c r="E26">
        <f>IF(AND('P2O5 SOLID-2 With Formulas'!$S$9="Swine",'P2O5 SOLID-2 With Formulas'!$H27="in",'P2O5 SOLID-2 With Formulas'!$I27="slurry"),0.8,'Formula Sheet'!F26)</f>
        <v>0</v>
      </c>
      <c r="F26">
        <f>IF(AND('P2O5 SOLID-2 With Formulas'!$S$9="Swine",'P2O5 SOLID-2 With Formulas'!$H27="in",'P2O5 SOLID-2 With Formulas'!$I27="sludge"),0.8,'Formula Sheet'!G26)</f>
        <v>0</v>
      </c>
      <c r="G26">
        <f>IF(AND('P2O5 SOLID-2 With Formulas'!$S$9="Swine",'P2O5 SOLID-2 With Formulas'!$H27="si",'P2O5 SOLID-2 With Formulas'!$I27="sludge"),0.8,'Formula Sheet'!H26)</f>
        <v>0</v>
      </c>
      <c r="H26">
        <f>IF(AND('P2O5 SOLID-2 With Formulas'!$S$9="Swine",'P2O5 SOLID-2 With Formulas'!$H27="br",'P2O5 SOLID-2 With Formulas'!$I27="sludge"),0.7,'Formula Sheet'!I26)</f>
        <v>0</v>
      </c>
      <c r="I26">
        <f>IF(AND('P2O5 SOLID-2 With Formulas'!S15="Swine",'P2O5 SOLID-2 With Formulas'!H27="br",'P2O5 SOLID-2 With Formulas'!I27="dmsssp"),"ERROR",'Formula Sheet'!J26)</f>
        <v>0</v>
      </c>
      <c r="J26">
        <f>IF(AND('P2O5 SOLID-2 With Formulas'!$S$9="Swine",'P2O5 SOLID-2 With Formulas'!$H27="si",'P2O5 SOLID-2 With Formulas'!$I27="dmsssp"),"ERROR",'Formula Sheet'!K26)</f>
        <v>0</v>
      </c>
      <c r="K26">
        <f>IF(AND('P2O5 SOLID-2 With Formulas'!$S$9="Swine",'P2O5 SOLID-2 With Formulas'!$H27="in",'P2O5 SOLID-2 With Formulas'!$I27="dmsssp"),"ERROR",'Formula Sheet'!L26)</f>
        <v>0</v>
      </c>
      <c r="L26">
        <f>IF(AND('P2O5 SOLID-2 With Formulas'!$S$9="Poultry",'P2O5 SOLID-2 With Formulas'!$H27="br",'P2O5 SOLID-2 With Formulas'!$I27="slurry"),0.7,'Formula Sheet'!M26)</f>
        <v>0</v>
      </c>
      <c r="M26">
        <f>IF(AND('P2O5 SOLID-2 With Formulas'!$S$9="Poultry",'P2O5 SOLID-2 With Formulas'!$H27="si",'P2O5 SOLID-2 With Formulas'!$I27="slurry"),0.8,'Formula Sheet'!N26)</f>
        <v>0</v>
      </c>
      <c r="N26">
        <f>IF(AND('P2O5 SOLID-2 With Formulas'!$S$9="Poultry",'P2O5 SOLID-2 With Formulas'!$H27="in",'P2O5 SOLID-2 With Formulas'!$I27="slurry"),0.8,'Formula Sheet'!O26)</f>
        <v>0</v>
      </c>
      <c r="O26">
        <f>IF(AND('P2O5 SOLID-2 With Formulas'!$S$9="Poultry",'P2O5 SOLID-2 With Formulas'!$H27="br",'P2O5 SOLID-2 With Formulas'!$I27="sludge"),0.7,'Formula Sheet'!P26)</f>
        <v>0</v>
      </c>
      <c r="P26">
        <f>IF(AND('P2O5 SOLID-2 With Formulas'!$S$9="Poultry",'P2O5 SOLID-2 With Formulas'!$H27="si",'P2O5 SOLID-2 With Formulas'!$I27="sludge"),0.8,'Formula Sheet'!Q26)</f>
        <v>0</v>
      </c>
      <c r="Q26">
        <f>IF(AND('P2O5 SOLID-2 With Formulas'!$S$9="Poultry",'P2O5 SOLID-2 With Formulas'!$H27="in",'P2O5 SOLID-2 With Formulas'!$I27="sludge"),0.7,'Formula Sheet'!R26)</f>
        <v>0</v>
      </c>
      <c r="R26">
        <f>IF(AND('P2O5 SOLID-2 With Formulas'!$S$9="Poultry",'P2O5 SOLID-2 With Formulas'!$H27="br",'P2O5 SOLID-2 With Formulas'!$I27="dmsssp"),"ERROR",'Formula Sheet'!S26)</f>
        <v>0</v>
      </c>
      <c r="S26">
        <f>IF(AND('P2O5 SOLID-2 With Formulas'!$S$9="Poultry",'P2O5 SOLID-2 With Formulas'!$H27="si",'P2O5 SOLID-2 With Formulas'!$I27="dmsssp"),"ERROR",'Formula Sheet'!T26)</f>
        <v>0</v>
      </c>
      <c r="T26">
        <f>IF(AND('P2O5 SOLID-2 With Formulas'!$S$9="Poultry",'P2O5 SOLID-2 With Formulas'!$H27="in",'P2O5 SOLID-2 With Formulas'!$I27="dmsssp"),"ERROR",'Formula Sheet'!U26)</f>
        <v>0</v>
      </c>
      <c r="U26">
        <f>IF(AND('P2O5 SOLID-2 With Formulas'!$S$9="Dairy",'P2O5 SOLID-2 With Formulas'!$H27="br",'P2O5 SOLID-2 With Formulas'!$I27="slurry"),0.7,'Formula Sheet'!V26)</f>
        <v>0</v>
      </c>
      <c r="V26">
        <f>IF(AND('P2O5 SOLID-2 With Formulas'!$S$9="Dairy",'P2O5 SOLID-2 With Formulas'!$H27="si",'P2O5 SOLID-2 With Formulas'!$I27="slurry"),0.8,'Formula Sheet'!W26)</f>
        <v>0</v>
      </c>
      <c r="W26">
        <f>IF(AND('P2O5 SOLID-2 With Formulas'!$S$9="Dairy",'P2O5 SOLID-2 With Formulas'!$H27="in",'P2O5 SOLID-2 With Formulas'!$I27="slurry"),0.8,'Formula Sheet'!X26)</f>
        <v>0</v>
      </c>
      <c r="X26">
        <f>IF(AND('P2O5 SOLID-2 With Formulas'!$S$9="Dairy",'P2O5 SOLID-2 With Formulas'!$H27="br",'P2O5 SOLID-2 With Formulas'!$I27="sludge"),"ERROR",'Formula Sheet'!Y26)</f>
        <v>0</v>
      </c>
      <c r="Y26">
        <f>IF(AND('P2O5 SOLID-2 With Formulas'!$S$9="Dairy",'P2O5 SOLID-2 With Formulas'!$H27="si",'P2O5 SOLID-2 With Formulas'!$I27="sludge"),"ERROR",'Formula Sheet'!Z26)</f>
        <v>0</v>
      </c>
      <c r="Z26">
        <f>IF(AND('P2O5 SOLID-2 With Formulas'!$S$9="Dairy",'P2O5 SOLID-2 With Formulas'!$H27="in",'P2O5 SOLID-2 With Formulas'!$I27="sludge"),"ERROR",'Formula Sheet'!AA26)</f>
        <v>0</v>
      </c>
      <c r="AA26">
        <f>IF(AND('P2O5 SOLID-2 With Formulas'!$S$9="Dairy",'P2O5 SOLID-2 With Formulas'!$H27="br",'P2O5 SOLID-2 With Formulas'!$I27="dmsssp"),0.6,'Formula Sheet'!AB26)</f>
        <v>0</v>
      </c>
      <c r="AB26">
        <f>IF(AND('P2O5 SOLID-2 With Formulas'!$S$9="Dairy",'P2O5 SOLID-2 With Formulas'!$H27="si",'P2O5 SOLID-2 With Formulas'!$I27="dmsssp"),0.75,'Formula Sheet'!AC26)</f>
        <v>0</v>
      </c>
      <c r="AC26">
        <f>IF(AND('P2O5 SOLID-2 With Formulas'!$S$9="Dairy",'P2O5 SOLID-2 With Formulas'!$H27="in",'P2O5 SOLID-2 With Formulas'!$I27="dmsssp"),"ERROR",'Formula Sheet'!AD26)</f>
        <v>0</v>
      </c>
    </row>
    <row r="27" spans="3:29" ht="12.75">
      <c r="C27">
        <f>IF(AND('P2O5 SOLID-2 With Formulas'!$S$9="Swine",'P2O5 SOLID-2 With Formulas'!$H28="br",'P2O5 SOLID-2 With Formulas'!$I28="slurry"),0.7,'Formula Sheet'!D27)</f>
        <v>0</v>
      </c>
      <c r="D27">
        <f>IF(AND('P2O5 SOLID-2 With Formulas'!$S$9="Swine",'P2O5 SOLID-2 With Formulas'!$H28="si",'P2O5 SOLID-2 With Formulas'!$I28="slurry"),0.8,'Formula Sheet'!E27)</f>
        <v>0</v>
      </c>
      <c r="E27">
        <f>IF(AND('P2O5 SOLID-2 With Formulas'!$S$9="Swine",'P2O5 SOLID-2 With Formulas'!$H28="in",'P2O5 SOLID-2 With Formulas'!$I28="slurry"),0.8,'Formula Sheet'!F27)</f>
        <v>0</v>
      </c>
      <c r="F27">
        <f>IF(AND('P2O5 SOLID-2 With Formulas'!$S$9="Swine",'P2O5 SOLID-2 With Formulas'!$H28="in",'P2O5 SOLID-2 With Formulas'!$I28="sludge"),0.8,'Formula Sheet'!G27)</f>
        <v>0</v>
      </c>
      <c r="G27">
        <f>IF(AND('P2O5 SOLID-2 With Formulas'!$S$9="Swine",'P2O5 SOLID-2 With Formulas'!$H28="si",'P2O5 SOLID-2 With Formulas'!$I28="sludge"),0.8,'Formula Sheet'!H27)</f>
        <v>0</v>
      </c>
      <c r="H27">
        <f>IF(AND('P2O5 SOLID-2 With Formulas'!$S$9="Swine",'P2O5 SOLID-2 With Formulas'!$H28="br",'P2O5 SOLID-2 With Formulas'!$I28="sludge"),0.7,'Formula Sheet'!I27)</f>
        <v>0</v>
      </c>
      <c r="I27">
        <f>IF(AND('P2O5 SOLID-2 With Formulas'!S16="Swine",'P2O5 SOLID-2 With Formulas'!H28="br",'P2O5 SOLID-2 With Formulas'!I28="dmsssp"),"ERROR",'Formula Sheet'!J27)</f>
        <v>0</v>
      </c>
      <c r="J27">
        <f>IF(AND('P2O5 SOLID-2 With Formulas'!$S$9="Swine",'P2O5 SOLID-2 With Formulas'!$H28="si",'P2O5 SOLID-2 With Formulas'!$I28="dmsssp"),"ERROR",'Formula Sheet'!K27)</f>
        <v>0</v>
      </c>
      <c r="K27">
        <f>IF(AND('P2O5 SOLID-2 With Formulas'!$S$9="Swine",'P2O5 SOLID-2 With Formulas'!$H28="in",'P2O5 SOLID-2 With Formulas'!$I28="dmsssp"),"ERROR",'Formula Sheet'!L27)</f>
        <v>0</v>
      </c>
      <c r="L27">
        <f>IF(AND('P2O5 SOLID-2 With Formulas'!$S$9="Poultry",'P2O5 SOLID-2 With Formulas'!$H28="br",'P2O5 SOLID-2 With Formulas'!$I28="slurry"),0.7,'Formula Sheet'!M27)</f>
        <v>0</v>
      </c>
      <c r="M27">
        <f>IF(AND('P2O5 SOLID-2 With Formulas'!$S$9="Poultry",'P2O5 SOLID-2 With Formulas'!$H28="si",'P2O5 SOLID-2 With Formulas'!$I28="slurry"),0.8,'Formula Sheet'!N27)</f>
        <v>0</v>
      </c>
      <c r="N27">
        <f>IF(AND('P2O5 SOLID-2 With Formulas'!$S$9="Poultry",'P2O5 SOLID-2 With Formulas'!$H28="in",'P2O5 SOLID-2 With Formulas'!$I28="slurry"),0.8,'Formula Sheet'!O27)</f>
        <v>0</v>
      </c>
      <c r="O27">
        <f>IF(AND('P2O5 SOLID-2 With Formulas'!$S$9="Poultry",'P2O5 SOLID-2 With Formulas'!$H28="br",'P2O5 SOLID-2 With Formulas'!$I28="sludge"),0.7,'Formula Sheet'!P27)</f>
        <v>0</v>
      </c>
      <c r="P27">
        <f>IF(AND('P2O5 SOLID-2 With Formulas'!$S$9="Poultry",'P2O5 SOLID-2 With Formulas'!$H28="si",'P2O5 SOLID-2 With Formulas'!$I28="sludge"),0.8,'Formula Sheet'!Q27)</f>
        <v>0</v>
      </c>
      <c r="Q27">
        <f>IF(AND('P2O5 SOLID-2 With Formulas'!$S$9="Poultry",'P2O5 SOLID-2 With Formulas'!$H28="in",'P2O5 SOLID-2 With Formulas'!$I28="sludge"),0.7,'Formula Sheet'!R27)</f>
        <v>0</v>
      </c>
      <c r="R27">
        <f>IF(AND('P2O5 SOLID-2 With Formulas'!$S$9="Poultry",'P2O5 SOLID-2 With Formulas'!$H28="br",'P2O5 SOLID-2 With Formulas'!$I28="dmsssp"),"ERROR",'Formula Sheet'!S27)</f>
        <v>0</v>
      </c>
      <c r="S27">
        <f>IF(AND('P2O5 SOLID-2 With Formulas'!$S$9="Poultry",'P2O5 SOLID-2 With Formulas'!$H28="si",'P2O5 SOLID-2 With Formulas'!$I28="dmsssp"),"ERROR",'Formula Sheet'!T27)</f>
        <v>0</v>
      </c>
      <c r="T27">
        <f>IF(AND('P2O5 SOLID-2 With Formulas'!$S$9="Poultry",'P2O5 SOLID-2 With Formulas'!$H28="in",'P2O5 SOLID-2 With Formulas'!$I28="dmsssp"),"ERROR",'Formula Sheet'!U27)</f>
        <v>0</v>
      </c>
      <c r="U27">
        <f>IF(AND('P2O5 SOLID-2 With Formulas'!$S$9="Dairy",'P2O5 SOLID-2 With Formulas'!$H28="br",'P2O5 SOLID-2 With Formulas'!$I28="slurry"),0.7,'Formula Sheet'!V27)</f>
        <v>0</v>
      </c>
      <c r="V27">
        <f>IF(AND('P2O5 SOLID-2 With Formulas'!$S$9="Dairy",'P2O5 SOLID-2 With Formulas'!$H28="si",'P2O5 SOLID-2 With Formulas'!$I28="slurry"),0.8,'Formula Sheet'!W27)</f>
        <v>0</v>
      </c>
      <c r="W27">
        <f>IF(AND('P2O5 SOLID-2 With Formulas'!$S$9="Dairy",'P2O5 SOLID-2 With Formulas'!$H28="in",'P2O5 SOLID-2 With Formulas'!$I28="slurry"),0.8,'Formula Sheet'!X27)</f>
        <v>0</v>
      </c>
      <c r="X27">
        <f>IF(AND('P2O5 SOLID-2 With Formulas'!$S$9="Dairy",'P2O5 SOLID-2 With Formulas'!$H28="br",'P2O5 SOLID-2 With Formulas'!$I28="sludge"),"ERROR",'Formula Sheet'!Y27)</f>
        <v>0</v>
      </c>
      <c r="Y27">
        <f>IF(AND('P2O5 SOLID-2 With Formulas'!$S$9="Dairy",'P2O5 SOLID-2 With Formulas'!$H28="si",'P2O5 SOLID-2 With Formulas'!$I28="sludge"),"ERROR",'Formula Sheet'!Z27)</f>
        <v>0</v>
      </c>
      <c r="Z27">
        <f>IF(AND('P2O5 SOLID-2 With Formulas'!$S$9="Dairy",'P2O5 SOLID-2 With Formulas'!$H28="in",'P2O5 SOLID-2 With Formulas'!$I28="sludge"),"ERROR",'Formula Sheet'!AA27)</f>
        <v>0</v>
      </c>
      <c r="AA27">
        <f>IF(AND('P2O5 SOLID-2 With Formulas'!$S$9="Dairy",'P2O5 SOLID-2 With Formulas'!$H28="br",'P2O5 SOLID-2 With Formulas'!$I28="dmsssp"),0.6,'Formula Sheet'!AB27)</f>
        <v>0</v>
      </c>
      <c r="AB27">
        <f>IF(AND('P2O5 SOLID-2 With Formulas'!$S$9="Dairy",'P2O5 SOLID-2 With Formulas'!$H28="si",'P2O5 SOLID-2 With Formulas'!$I28="dmsssp"),0.75,'Formula Sheet'!AC27)</f>
        <v>0</v>
      </c>
      <c r="AC27">
        <f>IF(AND('P2O5 SOLID-2 With Formulas'!$S$9="Dairy",'P2O5 SOLID-2 With Formulas'!$H28="in",'P2O5 SOLID-2 With Formulas'!$I28="dmsssp"),"ERROR",'Formula Sheet'!AD27)</f>
        <v>0</v>
      </c>
    </row>
    <row r="28" spans="3:29" ht="12.75">
      <c r="C28">
        <f>IF(AND('P2O5 SOLID-2 With Formulas'!$S$9="Swine",'P2O5 SOLID-2 With Formulas'!$H29="br",'P2O5 SOLID-2 With Formulas'!$I29="slurry"),0.7,'Formula Sheet'!D28)</f>
        <v>0</v>
      </c>
      <c r="D28">
        <f>IF(AND('P2O5 SOLID-2 With Formulas'!$S$9="Swine",'P2O5 SOLID-2 With Formulas'!$H29="si",'P2O5 SOLID-2 With Formulas'!$I29="slurry"),0.8,'Formula Sheet'!E28)</f>
        <v>0</v>
      </c>
      <c r="E28">
        <f>IF(AND('P2O5 SOLID-2 With Formulas'!$S$9="Swine",'P2O5 SOLID-2 With Formulas'!$H29="in",'P2O5 SOLID-2 With Formulas'!$I29="slurry"),0.8,'Formula Sheet'!F28)</f>
        <v>0</v>
      </c>
      <c r="F28">
        <f>IF(AND('P2O5 SOLID-2 With Formulas'!$S$9="Swine",'P2O5 SOLID-2 With Formulas'!$H29="in",'P2O5 SOLID-2 With Formulas'!$I29="sludge"),0.8,'Formula Sheet'!G28)</f>
        <v>0</v>
      </c>
      <c r="G28">
        <f>IF(AND('P2O5 SOLID-2 With Formulas'!$S$9="Swine",'P2O5 SOLID-2 With Formulas'!$H29="si",'P2O5 SOLID-2 With Formulas'!$I29="sludge"),0.8,'Formula Sheet'!H28)</f>
        <v>0</v>
      </c>
      <c r="H28">
        <f>IF(AND('P2O5 SOLID-2 With Formulas'!$S$9="Swine",'P2O5 SOLID-2 With Formulas'!$H29="br",'P2O5 SOLID-2 With Formulas'!$I29="sludge"),0.7,'Formula Sheet'!I28)</f>
        <v>0</v>
      </c>
      <c r="I28">
        <f>IF(AND('P2O5 SOLID-2 With Formulas'!S17="Swine",'P2O5 SOLID-2 With Formulas'!H29="br",'P2O5 SOLID-2 With Formulas'!I29="dmsssp"),"ERROR",'Formula Sheet'!J28)</f>
        <v>0</v>
      </c>
      <c r="J28">
        <f>IF(AND('P2O5 SOLID-2 With Formulas'!$S$9="Swine",'P2O5 SOLID-2 With Formulas'!$H29="si",'P2O5 SOLID-2 With Formulas'!$I29="dmsssp"),"ERROR",'Formula Sheet'!K28)</f>
        <v>0</v>
      </c>
      <c r="K28">
        <f>IF(AND('P2O5 SOLID-2 With Formulas'!$S$9="Swine",'P2O5 SOLID-2 With Formulas'!$H29="in",'P2O5 SOLID-2 With Formulas'!$I29="dmsssp"),"ERROR",'Formula Sheet'!L28)</f>
        <v>0</v>
      </c>
      <c r="L28">
        <f>IF(AND('P2O5 SOLID-2 With Formulas'!$S$9="Poultry",'P2O5 SOLID-2 With Formulas'!$H29="br",'P2O5 SOLID-2 With Formulas'!$I29="slurry"),0.7,'Formula Sheet'!M28)</f>
        <v>0</v>
      </c>
      <c r="M28">
        <f>IF(AND('P2O5 SOLID-2 With Formulas'!$S$9="Poultry",'P2O5 SOLID-2 With Formulas'!$H29="si",'P2O5 SOLID-2 With Formulas'!$I29="slurry"),0.8,'Formula Sheet'!N28)</f>
        <v>0</v>
      </c>
      <c r="N28">
        <f>IF(AND('P2O5 SOLID-2 With Formulas'!$S$9="Poultry",'P2O5 SOLID-2 With Formulas'!$H29="in",'P2O5 SOLID-2 With Formulas'!$I29="slurry"),0.8,'Formula Sheet'!O28)</f>
        <v>0</v>
      </c>
      <c r="O28">
        <f>IF(AND('P2O5 SOLID-2 With Formulas'!$S$9="Poultry",'P2O5 SOLID-2 With Formulas'!$H29="br",'P2O5 SOLID-2 With Formulas'!$I29="sludge"),0.7,'Formula Sheet'!P28)</f>
        <v>0</v>
      </c>
      <c r="P28">
        <f>IF(AND('P2O5 SOLID-2 With Formulas'!$S$9="Poultry",'P2O5 SOLID-2 With Formulas'!$H29="si",'P2O5 SOLID-2 With Formulas'!$I29="sludge"),0.8,'Formula Sheet'!Q28)</f>
        <v>0</v>
      </c>
      <c r="Q28">
        <f>IF(AND('P2O5 SOLID-2 With Formulas'!$S$9="Poultry",'P2O5 SOLID-2 With Formulas'!$H29="in",'P2O5 SOLID-2 With Formulas'!$I29="sludge"),0.7,'Formula Sheet'!R28)</f>
        <v>0</v>
      </c>
      <c r="R28">
        <f>IF(AND('P2O5 SOLID-2 With Formulas'!$S$9="Poultry",'P2O5 SOLID-2 With Formulas'!$H29="br",'P2O5 SOLID-2 With Formulas'!$I29="dmsssp"),"ERROR",'Formula Sheet'!S28)</f>
        <v>0</v>
      </c>
      <c r="S28">
        <f>IF(AND('P2O5 SOLID-2 With Formulas'!$S$9="Poultry",'P2O5 SOLID-2 With Formulas'!$H29="si",'P2O5 SOLID-2 With Formulas'!$I29="dmsssp"),"ERROR",'Formula Sheet'!T28)</f>
        <v>0</v>
      </c>
      <c r="T28">
        <f>IF(AND('P2O5 SOLID-2 With Formulas'!$S$9="Poultry",'P2O5 SOLID-2 With Formulas'!$H29="in",'P2O5 SOLID-2 With Formulas'!$I29="dmsssp"),"ERROR",'Formula Sheet'!U28)</f>
        <v>0</v>
      </c>
      <c r="U28">
        <f>IF(AND('P2O5 SOLID-2 With Formulas'!$S$9="Dairy",'P2O5 SOLID-2 With Formulas'!$H29="br",'P2O5 SOLID-2 With Formulas'!$I29="slurry"),0.7,'Formula Sheet'!V28)</f>
        <v>0</v>
      </c>
      <c r="V28">
        <f>IF(AND('P2O5 SOLID-2 With Formulas'!$S$9="Dairy",'P2O5 SOLID-2 With Formulas'!$H29="si",'P2O5 SOLID-2 With Formulas'!$I29="slurry"),0.8,'Formula Sheet'!W28)</f>
        <v>0</v>
      </c>
      <c r="W28">
        <f>IF(AND('P2O5 SOLID-2 With Formulas'!$S$9="Dairy",'P2O5 SOLID-2 With Formulas'!$H29="in",'P2O5 SOLID-2 With Formulas'!$I29="slurry"),0.8,'Formula Sheet'!X28)</f>
        <v>0</v>
      </c>
      <c r="X28">
        <f>IF(AND('P2O5 SOLID-2 With Formulas'!$S$9="Dairy",'P2O5 SOLID-2 With Formulas'!$H29="br",'P2O5 SOLID-2 With Formulas'!$I29="sludge"),"ERROR",'Formula Sheet'!Y28)</f>
        <v>0</v>
      </c>
      <c r="Y28">
        <f>IF(AND('P2O5 SOLID-2 With Formulas'!$S$9="Dairy",'P2O5 SOLID-2 With Formulas'!$H29="si",'P2O5 SOLID-2 With Formulas'!$I29="sludge"),"ERROR",'Formula Sheet'!Z28)</f>
        <v>0</v>
      </c>
      <c r="Z28">
        <f>IF(AND('P2O5 SOLID-2 With Formulas'!$S$9="Dairy",'P2O5 SOLID-2 With Formulas'!$H29="in",'P2O5 SOLID-2 With Formulas'!$I29="sludge"),"ERROR",'Formula Sheet'!AA28)</f>
        <v>0</v>
      </c>
      <c r="AA28">
        <f>IF(AND('P2O5 SOLID-2 With Formulas'!$S$9="Dairy",'P2O5 SOLID-2 With Formulas'!$H29="br",'P2O5 SOLID-2 With Formulas'!$I29="dmsssp"),0.6,'Formula Sheet'!AB28)</f>
        <v>0</v>
      </c>
      <c r="AB28">
        <f>IF(AND('P2O5 SOLID-2 With Formulas'!$S$9="Dairy",'P2O5 SOLID-2 With Formulas'!$H29="si",'P2O5 SOLID-2 With Formulas'!$I29="dmsssp"),0.75,'Formula Sheet'!AC28)</f>
        <v>0</v>
      </c>
      <c r="AC28">
        <f>IF(AND('P2O5 SOLID-2 With Formulas'!$S$9="Dairy",'P2O5 SOLID-2 With Formulas'!$H29="in",'P2O5 SOLID-2 With Formulas'!$I29="dmsssp"),"ERROR",'Formula Sheet'!AD28)</f>
        <v>0</v>
      </c>
    </row>
    <row r="29" spans="3:29" ht="12.75">
      <c r="C29">
        <f>IF(AND('P2O5 SOLID-2 With Formulas'!$S$9="Swine",'P2O5 SOLID-2 With Formulas'!$H30="br",'P2O5 SOLID-2 With Formulas'!$I30="slurry"),0.7,'Formula Sheet'!D29)</f>
        <v>0</v>
      </c>
      <c r="D29">
        <f>IF(AND('P2O5 SOLID-2 With Formulas'!$S$9="Swine",'P2O5 SOLID-2 With Formulas'!$H30="si",'P2O5 SOLID-2 With Formulas'!$I30="slurry"),0.8,'Formula Sheet'!E29)</f>
        <v>0</v>
      </c>
      <c r="E29">
        <f>IF(AND('P2O5 SOLID-2 With Formulas'!$S$9="Swine",'P2O5 SOLID-2 With Formulas'!$H30="in",'P2O5 SOLID-2 With Formulas'!$I30="slurry"),0.8,'Formula Sheet'!F29)</f>
        <v>0</v>
      </c>
      <c r="F29">
        <f>IF(AND('P2O5 SOLID-2 With Formulas'!$S$9="Swine",'P2O5 SOLID-2 With Formulas'!$H30="in",'P2O5 SOLID-2 With Formulas'!$I30="sludge"),0.8,'Formula Sheet'!G29)</f>
        <v>0</v>
      </c>
      <c r="G29">
        <f>IF(AND('P2O5 SOLID-2 With Formulas'!$S$9="Swine",'P2O5 SOLID-2 With Formulas'!$H30="si",'P2O5 SOLID-2 With Formulas'!$I30="sludge"),0.8,'Formula Sheet'!H29)</f>
        <v>0</v>
      </c>
      <c r="H29">
        <f>IF(AND('P2O5 SOLID-2 With Formulas'!$S$9="Swine",'P2O5 SOLID-2 With Formulas'!$H30="br",'P2O5 SOLID-2 With Formulas'!$I30="sludge"),0.7,'Formula Sheet'!I29)</f>
        <v>0</v>
      </c>
      <c r="I29">
        <f>IF(AND('P2O5 SOLID-2 With Formulas'!S18="Swine",'P2O5 SOLID-2 With Formulas'!H30="br",'P2O5 SOLID-2 With Formulas'!I30="dmsssp"),"ERROR",'Formula Sheet'!J29)</f>
        <v>0</v>
      </c>
      <c r="J29">
        <f>IF(AND('P2O5 SOLID-2 With Formulas'!$S$9="Swine",'P2O5 SOLID-2 With Formulas'!$H30="si",'P2O5 SOLID-2 With Formulas'!$I30="dmsssp"),"ERROR",'Formula Sheet'!K29)</f>
        <v>0</v>
      </c>
      <c r="K29">
        <f>IF(AND('P2O5 SOLID-2 With Formulas'!$S$9="Swine",'P2O5 SOLID-2 With Formulas'!$H30="in",'P2O5 SOLID-2 With Formulas'!$I30="dmsssp"),"ERROR",'Formula Sheet'!L29)</f>
        <v>0</v>
      </c>
      <c r="L29">
        <f>IF(AND('P2O5 SOLID-2 With Formulas'!$S$9="Poultry",'P2O5 SOLID-2 With Formulas'!$H30="br",'P2O5 SOLID-2 With Formulas'!$I30="slurry"),0.7,'Formula Sheet'!M29)</f>
        <v>0</v>
      </c>
      <c r="M29">
        <f>IF(AND('P2O5 SOLID-2 With Formulas'!$S$9="Poultry",'P2O5 SOLID-2 With Formulas'!$H30="si",'P2O5 SOLID-2 With Formulas'!$I30="slurry"),0.8,'Formula Sheet'!N29)</f>
        <v>0</v>
      </c>
      <c r="N29">
        <f>IF(AND('P2O5 SOLID-2 With Formulas'!$S$9="Poultry",'P2O5 SOLID-2 With Formulas'!$H30="in",'P2O5 SOLID-2 With Formulas'!$I30="slurry"),0.8,'Formula Sheet'!O29)</f>
        <v>0</v>
      </c>
      <c r="O29">
        <f>IF(AND('P2O5 SOLID-2 With Formulas'!$S$9="Poultry",'P2O5 SOLID-2 With Formulas'!$H30="br",'P2O5 SOLID-2 With Formulas'!$I30="sludge"),0.7,'Formula Sheet'!P29)</f>
        <v>0</v>
      </c>
      <c r="P29">
        <f>IF(AND('P2O5 SOLID-2 With Formulas'!$S$9="Poultry",'P2O5 SOLID-2 With Formulas'!$H30="si",'P2O5 SOLID-2 With Formulas'!$I30="sludge"),0.8,'Formula Sheet'!Q29)</f>
        <v>0</v>
      </c>
      <c r="Q29">
        <f>IF(AND('P2O5 SOLID-2 With Formulas'!$S$9="Poultry",'P2O5 SOLID-2 With Formulas'!$H30="in",'P2O5 SOLID-2 With Formulas'!$I30="sludge"),0.7,'Formula Sheet'!R29)</f>
        <v>0</v>
      </c>
      <c r="R29">
        <f>IF(AND('P2O5 SOLID-2 With Formulas'!$S$9="Poultry",'P2O5 SOLID-2 With Formulas'!$H30="br",'P2O5 SOLID-2 With Formulas'!$I30="dmsssp"),"ERROR",'Formula Sheet'!S29)</f>
        <v>0</v>
      </c>
      <c r="S29">
        <f>IF(AND('P2O5 SOLID-2 With Formulas'!$S$9="Poultry",'P2O5 SOLID-2 With Formulas'!$H30="si",'P2O5 SOLID-2 With Formulas'!$I30="dmsssp"),"ERROR",'Formula Sheet'!T29)</f>
        <v>0</v>
      </c>
      <c r="T29">
        <f>IF(AND('P2O5 SOLID-2 With Formulas'!$S$9="Poultry",'P2O5 SOLID-2 With Formulas'!$H30="in",'P2O5 SOLID-2 With Formulas'!$I30="dmsssp"),"ERROR",'Formula Sheet'!U29)</f>
        <v>0</v>
      </c>
      <c r="U29">
        <f>IF(AND('P2O5 SOLID-2 With Formulas'!$S$9="Dairy",'P2O5 SOLID-2 With Formulas'!$H30="br",'P2O5 SOLID-2 With Formulas'!$I30="slurry"),0.7,'Formula Sheet'!V29)</f>
        <v>0</v>
      </c>
      <c r="V29">
        <f>IF(AND('P2O5 SOLID-2 With Formulas'!$S$9="Dairy",'P2O5 SOLID-2 With Formulas'!$H30="si",'P2O5 SOLID-2 With Formulas'!$I30="slurry"),0.8,'Formula Sheet'!W29)</f>
        <v>0</v>
      </c>
      <c r="W29">
        <f>IF(AND('P2O5 SOLID-2 With Formulas'!$S$9="Dairy",'P2O5 SOLID-2 With Formulas'!$H30="in",'P2O5 SOLID-2 With Formulas'!$I30="slurry"),0.8,'Formula Sheet'!X29)</f>
        <v>0</v>
      </c>
      <c r="X29">
        <f>IF(AND('P2O5 SOLID-2 With Formulas'!$S$9="Dairy",'P2O5 SOLID-2 With Formulas'!$H30="br",'P2O5 SOLID-2 With Formulas'!$I30="sludge"),"ERROR",'Formula Sheet'!Y29)</f>
        <v>0</v>
      </c>
      <c r="Y29">
        <f>IF(AND('P2O5 SOLID-2 With Formulas'!$S$9="Dairy",'P2O5 SOLID-2 With Formulas'!$H30="si",'P2O5 SOLID-2 With Formulas'!$I30="sludge"),"ERROR",'Formula Sheet'!Z29)</f>
        <v>0</v>
      </c>
      <c r="Z29">
        <f>IF(AND('P2O5 SOLID-2 With Formulas'!$S$9="Dairy",'P2O5 SOLID-2 With Formulas'!$H30="in",'P2O5 SOLID-2 With Formulas'!$I30="sludge"),"ERROR",'Formula Sheet'!AA29)</f>
        <v>0</v>
      </c>
      <c r="AA29">
        <f>IF(AND('P2O5 SOLID-2 With Formulas'!$S$9="Dairy",'P2O5 SOLID-2 With Formulas'!$H30="br",'P2O5 SOLID-2 With Formulas'!$I30="dmsssp"),0.6,'Formula Sheet'!AB29)</f>
        <v>0</v>
      </c>
      <c r="AB29">
        <f>IF(AND('P2O5 SOLID-2 With Formulas'!$S$9="Dairy",'P2O5 SOLID-2 With Formulas'!$H30="si",'P2O5 SOLID-2 With Formulas'!$I30="dmsssp"),0.75,'Formula Sheet'!AC29)</f>
        <v>0</v>
      </c>
      <c r="AC29">
        <f>IF(AND('P2O5 SOLID-2 With Formulas'!$S$9="Dairy",'P2O5 SOLID-2 With Formulas'!$H30="in",'P2O5 SOLID-2 With Formulas'!$I30="dmsssp"),"ERROR",'Formula Sheet'!AD29)</f>
        <v>0</v>
      </c>
    </row>
    <row r="30" spans="3:29" ht="12.75">
      <c r="C30">
        <f>IF(AND('P2O5 SOLID-2 With Formulas'!$S$9="Swine",'P2O5 SOLID-2 With Formulas'!$H31="br",'P2O5 SOLID-2 With Formulas'!$I31="slurry"),0.7,'Formula Sheet'!D30)</f>
        <v>0</v>
      </c>
      <c r="D30">
        <f>IF(AND('P2O5 SOLID-2 With Formulas'!$S$9="Swine",'P2O5 SOLID-2 With Formulas'!$H31="si",'P2O5 SOLID-2 With Formulas'!$I31="slurry"),0.8,'Formula Sheet'!E30)</f>
        <v>0</v>
      </c>
      <c r="E30">
        <f>IF(AND('P2O5 SOLID-2 With Formulas'!$S$9="Swine",'P2O5 SOLID-2 With Formulas'!$H31="in",'P2O5 SOLID-2 With Formulas'!$I31="slurry"),0.8,'Formula Sheet'!F30)</f>
        <v>0</v>
      </c>
      <c r="F30">
        <f>IF(AND('P2O5 SOLID-2 With Formulas'!$S$9="Swine",'P2O5 SOLID-2 With Formulas'!$H31="in",'P2O5 SOLID-2 With Formulas'!$I31="sludge"),0.8,'Formula Sheet'!G30)</f>
        <v>0</v>
      </c>
      <c r="G30">
        <f>IF(AND('P2O5 SOLID-2 With Formulas'!$S$9="Swine",'P2O5 SOLID-2 With Formulas'!$H31="si",'P2O5 SOLID-2 With Formulas'!$I31="sludge"),0.8,'Formula Sheet'!H30)</f>
        <v>0</v>
      </c>
      <c r="H30">
        <f>IF(AND('P2O5 SOLID-2 With Formulas'!$S$9="Swine",'P2O5 SOLID-2 With Formulas'!$H31="br",'P2O5 SOLID-2 With Formulas'!$I31="sludge"),0.7,'Formula Sheet'!I30)</f>
        <v>0</v>
      </c>
      <c r="I30">
        <f>IF(AND('P2O5 SOLID-2 With Formulas'!S19="Swine",'P2O5 SOLID-2 With Formulas'!H31="br",'P2O5 SOLID-2 With Formulas'!I31="dmsssp"),"ERROR",'Formula Sheet'!J30)</f>
        <v>0</v>
      </c>
      <c r="J30">
        <f>IF(AND('P2O5 SOLID-2 With Formulas'!$S$9="Swine",'P2O5 SOLID-2 With Formulas'!$H31="si",'P2O5 SOLID-2 With Formulas'!$I31="dmsssp"),"ERROR",'Formula Sheet'!K30)</f>
        <v>0</v>
      </c>
      <c r="K30">
        <f>IF(AND('P2O5 SOLID-2 With Formulas'!$S$9="Swine",'P2O5 SOLID-2 With Formulas'!$H31="in",'P2O5 SOLID-2 With Formulas'!$I31="dmsssp"),"ERROR",'Formula Sheet'!L30)</f>
        <v>0</v>
      </c>
      <c r="L30">
        <f>IF(AND('P2O5 SOLID-2 With Formulas'!$S$9="Poultry",'P2O5 SOLID-2 With Formulas'!$H31="br",'P2O5 SOLID-2 With Formulas'!$I31="slurry"),0.7,'Formula Sheet'!M30)</f>
        <v>0</v>
      </c>
      <c r="M30">
        <f>IF(AND('P2O5 SOLID-2 With Formulas'!$S$9="Poultry",'P2O5 SOLID-2 With Formulas'!$H31="si",'P2O5 SOLID-2 With Formulas'!$I31="slurry"),0.8,'Formula Sheet'!N30)</f>
        <v>0</v>
      </c>
      <c r="N30">
        <f>IF(AND('P2O5 SOLID-2 With Formulas'!$S$9="Poultry",'P2O5 SOLID-2 With Formulas'!$H31="in",'P2O5 SOLID-2 With Formulas'!$I31="slurry"),0.8,'Formula Sheet'!O30)</f>
        <v>0</v>
      </c>
      <c r="O30">
        <f>IF(AND('P2O5 SOLID-2 With Formulas'!$S$9="Poultry",'P2O5 SOLID-2 With Formulas'!$H31="br",'P2O5 SOLID-2 With Formulas'!$I31="sludge"),0.7,'Formula Sheet'!P30)</f>
        <v>0</v>
      </c>
      <c r="P30">
        <f>IF(AND('P2O5 SOLID-2 With Formulas'!$S$9="Poultry",'P2O5 SOLID-2 With Formulas'!$H31="si",'P2O5 SOLID-2 With Formulas'!$I31="sludge"),0.8,'Formula Sheet'!Q30)</f>
        <v>0</v>
      </c>
      <c r="Q30">
        <f>IF(AND('P2O5 SOLID-2 With Formulas'!$S$9="Poultry",'P2O5 SOLID-2 With Formulas'!$H31="in",'P2O5 SOLID-2 With Formulas'!$I31="sludge"),0.7,'Formula Sheet'!R30)</f>
        <v>0</v>
      </c>
      <c r="R30">
        <f>IF(AND('P2O5 SOLID-2 With Formulas'!$S$9="Poultry",'P2O5 SOLID-2 With Formulas'!$H31="br",'P2O5 SOLID-2 With Formulas'!$I31="dmsssp"),"ERROR",'Formula Sheet'!S30)</f>
        <v>0</v>
      </c>
      <c r="S30">
        <f>IF(AND('P2O5 SOLID-2 With Formulas'!$S$9="Poultry",'P2O5 SOLID-2 With Formulas'!$H31="si",'P2O5 SOLID-2 With Formulas'!$I31="dmsssp"),"ERROR",'Formula Sheet'!T30)</f>
        <v>0</v>
      </c>
      <c r="T30">
        <f>IF(AND('P2O5 SOLID-2 With Formulas'!$S$9="Poultry",'P2O5 SOLID-2 With Formulas'!$H31="in",'P2O5 SOLID-2 With Formulas'!$I31="dmsssp"),"ERROR",'Formula Sheet'!U30)</f>
        <v>0</v>
      </c>
      <c r="U30">
        <f>IF(AND('P2O5 SOLID-2 With Formulas'!$S$9="Dairy",'P2O5 SOLID-2 With Formulas'!$H31="br",'P2O5 SOLID-2 With Formulas'!$I31="slurry"),0.7,'Formula Sheet'!V30)</f>
        <v>0</v>
      </c>
      <c r="V30">
        <f>IF(AND('P2O5 SOLID-2 With Formulas'!$S$9="Dairy",'P2O5 SOLID-2 With Formulas'!$H31="si",'P2O5 SOLID-2 With Formulas'!$I31="slurry"),0.8,'Formula Sheet'!W30)</f>
        <v>0</v>
      </c>
      <c r="W30">
        <f>IF(AND('P2O5 SOLID-2 With Formulas'!$S$9="Dairy",'P2O5 SOLID-2 With Formulas'!$H31="in",'P2O5 SOLID-2 With Formulas'!$I31="slurry"),0.8,'Formula Sheet'!X30)</f>
        <v>0</v>
      </c>
      <c r="X30">
        <f>IF(AND('P2O5 SOLID-2 With Formulas'!$S$9="Dairy",'P2O5 SOLID-2 With Formulas'!$H31="br",'P2O5 SOLID-2 With Formulas'!$I31="sludge"),"ERROR",'Formula Sheet'!Y30)</f>
        <v>0</v>
      </c>
      <c r="Y30">
        <f>IF(AND('P2O5 SOLID-2 With Formulas'!$S$9="Dairy",'P2O5 SOLID-2 With Formulas'!$H31="si",'P2O5 SOLID-2 With Formulas'!$I31="sludge"),"ERROR",'Formula Sheet'!Z30)</f>
        <v>0</v>
      </c>
      <c r="Z30">
        <f>IF(AND('P2O5 SOLID-2 With Formulas'!$S$9="Dairy",'P2O5 SOLID-2 With Formulas'!$H31="in",'P2O5 SOLID-2 With Formulas'!$I31="sludge"),"ERROR",'Formula Sheet'!AA30)</f>
        <v>0</v>
      </c>
      <c r="AA30">
        <f>IF(AND('P2O5 SOLID-2 With Formulas'!$S$9="Dairy",'P2O5 SOLID-2 With Formulas'!$H31="br",'P2O5 SOLID-2 With Formulas'!$I31="dmsssp"),0.6,'Formula Sheet'!AB30)</f>
        <v>0</v>
      </c>
      <c r="AB30">
        <f>IF(AND('P2O5 SOLID-2 With Formulas'!$S$9="Dairy",'P2O5 SOLID-2 With Formulas'!$H31="si",'P2O5 SOLID-2 With Formulas'!$I31="dmsssp"),0.75,'Formula Sheet'!AC30)</f>
        <v>0</v>
      </c>
      <c r="AC30">
        <f>IF(AND('P2O5 SOLID-2 With Formulas'!$S$9="Dairy",'P2O5 SOLID-2 With Formulas'!$H31="in",'P2O5 SOLID-2 With Formulas'!$I31="dmsssp"),"ERROR",'Formula Sheet'!AD30)</f>
        <v>0</v>
      </c>
    </row>
    <row r="31" spans="3:29" ht="12.75">
      <c r="C31">
        <f>IF(AND('P2O5 SOLID-2 With Formulas'!$S$9="Swine",'P2O5 SOLID-2 With Formulas'!$H32="br",'P2O5 SOLID-2 With Formulas'!$I32="slurry"),0.7,'Formula Sheet'!D31)</f>
        <v>0</v>
      </c>
      <c r="D31">
        <f>IF(AND('P2O5 SOLID-2 With Formulas'!$S$9="Swine",'P2O5 SOLID-2 With Formulas'!$H32="si",'P2O5 SOLID-2 With Formulas'!$I32="slurry"),0.8,'Formula Sheet'!E31)</f>
        <v>0</v>
      </c>
      <c r="E31">
        <f>IF(AND('P2O5 SOLID-2 With Formulas'!$S$9="Swine",'P2O5 SOLID-2 With Formulas'!$H32="in",'P2O5 SOLID-2 With Formulas'!$I32="slurry"),0.8,'Formula Sheet'!F31)</f>
        <v>0</v>
      </c>
      <c r="F31">
        <f>IF(AND('P2O5 SOLID-2 With Formulas'!$S$9="Swine",'P2O5 SOLID-2 With Formulas'!$H32="in",'P2O5 SOLID-2 With Formulas'!$I32="sludge"),0.8,'Formula Sheet'!G31)</f>
        <v>0</v>
      </c>
      <c r="G31">
        <f>IF(AND('P2O5 SOLID-2 With Formulas'!$S$9="Swine",'P2O5 SOLID-2 With Formulas'!$H32="si",'P2O5 SOLID-2 With Formulas'!$I32="sludge"),0.8,'Formula Sheet'!H31)</f>
        <v>0</v>
      </c>
      <c r="H31">
        <f>IF(AND('P2O5 SOLID-2 With Formulas'!$S$9="Swine",'P2O5 SOLID-2 With Formulas'!$H32="br",'P2O5 SOLID-2 With Formulas'!$I32="sludge"),0.7,'Formula Sheet'!I31)</f>
        <v>0</v>
      </c>
      <c r="I31">
        <f>IF(AND('P2O5 SOLID-2 With Formulas'!S20="Swine",'P2O5 SOLID-2 With Formulas'!H32="br",'P2O5 SOLID-2 With Formulas'!I32="dmsssp"),"ERROR",'Formula Sheet'!J31)</f>
        <v>0</v>
      </c>
      <c r="J31">
        <f>IF(AND('P2O5 SOLID-2 With Formulas'!$S$9="Swine",'P2O5 SOLID-2 With Formulas'!$H32="si",'P2O5 SOLID-2 With Formulas'!$I32="dmsssp"),"ERROR",'Formula Sheet'!K31)</f>
        <v>0</v>
      </c>
      <c r="K31">
        <f>IF(AND('P2O5 SOLID-2 With Formulas'!$S$9="Swine",'P2O5 SOLID-2 With Formulas'!$H32="in",'P2O5 SOLID-2 With Formulas'!$I32="dmsssp"),"ERROR",'Formula Sheet'!L31)</f>
        <v>0</v>
      </c>
      <c r="L31">
        <f>IF(AND('P2O5 SOLID-2 With Formulas'!$S$9="Poultry",'P2O5 SOLID-2 With Formulas'!$H32="br",'P2O5 SOLID-2 With Formulas'!$I32="slurry"),0.7,'Formula Sheet'!M31)</f>
        <v>0</v>
      </c>
      <c r="M31">
        <f>IF(AND('P2O5 SOLID-2 With Formulas'!$S$9="Poultry",'P2O5 SOLID-2 With Formulas'!$H32="si",'P2O5 SOLID-2 With Formulas'!$I32="slurry"),0.8,'Formula Sheet'!N31)</f>
        <v>0</v>
      </c>
      <c r="N31">
        <f>IF(AND('P2O5 SOLID-2 With Formulas'!$S$9="Poultry",'P2O5 SOLID-2 With Formulas'!$H32="in",'P2O5 SOLID-2 With Formulas'!$I32="slurry"),0.8,'Formula Sheet'!O31)</f>
        <v>0</v>
      </c>
      <c r="O31">
        <f>IF(AND('P2O5 SOLID-2 With Formulas'!$S$9="Poultry",'P2O5 SOLID-2 With Formulas'!$H32="br",'P2O5 SOLID-2 With Formulas'!$I32="sludge"),0.7,'Formula Sheet'!P31)</f>
        <v>0</v>
      </c>
      <c r="P31">
        <f>IF(AND('P2O5 SOLID-2 With Formulas'!$S$9="Poultry",'P2O5 SOLID-2 With Formulas'!$H32="si",'P2O5 SOLID-2 With Formulas'!$I32="sludge"),0.8,'Formula Sheet'!Q31)</f>
        <v>0</v>
      </c>
      <c r="Q31">
        <f>IF(AND('P2O5 SOLID-2 With Formulas'!$S$9="Poultry",'P2O5 SOLID-2 With Formulas'!$H32="in",'P2O5 SOLID-2 With Formulas'!$I32="sludge"),0.7,'Formula Sheet'!R31)</f>
        <v>0</v>
      </c>
      <c r="R31">
        <f>IF(AND('P2O5 SOLID-2 With Formulas'!$S$9="Poultry",'P2O5 SOLID-2 With Formulas'!$H32="br",'P2O5 SOLID-2 With Formulas'!$I32="dmsssp"),"ERROR",'Formula Sheet'!S31)</f>
        <v>0</v>
      </c>
      <c r="S31">
        <f>IF(AND('P2O5 SOLID-2 With Formulas'!$S$9="Poultry",'P2O5 SOLID-2 With Formulas'!$H32="si",'P2O5 SOLID-2 With Formulas'!$I32="dmsssp"),"ERROR",'Formula Sheet'!T31)</f>
        <v>0</v>
      </c>
      <c r="T31">
        <f>IF(AND('P2O5 SOLID-2 With Formulas'!$S$9="Poultry",'P2O5 SOLID-2 With Formulas'!$H32="in",'P2O5 SOLID-2 With Formulas'!$I32="dmsssp"),"ERROR",'Formula Sheet'!U31)</f>
        <v>0</v>
      </c>
      <c r="U31">
        <f>IF(AND('P2O5 SOLID-2 With Formulas'!$S$9="Dairy",'P2O5 SOLID-2 With Formulas'!$H32="br",'P2O5 SOLID-2 With Formulas'!$I32="slurry"),0.7,'Formula Sheet'!V31)</f>
        <v>0</v>
      </c>
      <c r="V31">
        <f>IF(AND('P2O5 SOLID-2 With Formulas'!$S$9="Dairy",'P2O5 SOLID-2 With Formulas'!$H32="si",'P2O5 SOLID-2 With Formulas'!$I32="slurry"),0.8,'Formula Sheet'!W31)</f>
        <v>0</v>
      </c>
      <c r="W31">
        <f>IF(AND('P2O5 SOLID-2 With Formulas'!$S$9="Dairy",'P2O5 SOLID-2 With Formulas'!$H32="in",'P2O5 SOLID-2 With Formulas'!$I32="slurry"),0.8,'Formula Sheet'!X31)</f>
        <v>0</v>
      </c>
      <c r="X31">
        <f>IF(AND('P2O5 SOLID-2 With Formulas'!$S$9="Dairy",'P2O5 SOLID-2 With Formulas'!$H32="br",'P2O5 SOLID-2 With Formulas'!$I32="sludge"),"ERROR",'Formula Sheet'!Y31)</f>
        <v>0</v>
      </c>
      <c r="Y31">
        <f>IF(AND('P2O5 SOLID-2 With Formulas'!$S$9="Dairy",'P2O5 SOLID-2 With Formulas'!$H32="si",'P2O5 SOLID-2 With Formulas'!$I32="sludge"),"ERROR",'Formula Sheet'!Z31)</f>
        <v>0</v>
      </c>
      <c r="Z31">
        <f>IF(AND('P2O5 SOLID-2 With Formulas'!$S$9="Dairy",'P2O5 SOLID-2 With Formulas'!$H32="in",'P2O5 SOLID-2 With Formulas'!$I32="sludge"),"ERROR",'Formula Sheet'!AA31)</f>
        <v>0</v>
      </c>
      <c r="AA31">
        <f>IF(AND('P2O5 SOLID-2 With Formulas'!$S$9="Dairy",'P2O5 SOLID-2 With Formulas'!$H32="br",'P2O5 SOLID-2 With Formulas'!$I32="dmsssp"),0.6,'Formula Sheet'!AB31)</f>
        <v>0</v>
      </c>
      <c r="AB31">
        <f>IF(AND('P2O5 SOLID-2 With Formulas'!$S$9="Dairy",'P2O5 SOLID-2 With Formulas'!$H32="si",'P2O5 SOLID-2 With Formulas'!$I32="dmsssp"),0.75,'Formula Sheet'!AC31)</f>
        <v>0</v>
      </c>
      <c r="AC31">
        <f>IF(AND('P2O5 SOLID-2 With Formulas'!$S$9="Dairy",'P2O5 SOLID-2 With Formulas'!$H32="in",'P2O5 SOLID-2 With Formulas'!$I32="dmsssp"),"ERROR",'Formula Sheet'!AD31)</f>
        <v>0</v>
      </c>
    </row>
    <row r="32" spans="3:29" ht="12.75">
      <c r="C32">
        <f>IF(AND('P2O5 SOLID-2 With Formulas'!$S$9="Swine",'P2O5 SOLID-2 With Formulas'!$H33="br",'P2O5 SOLID-2 With Formulas'!$I33="slurry"),0.7,'Formula Sheet'!D32)</f>
        <v>0</v>
      </c>
      <c r="D32">
        <f>IF(AND('P2O5 SOLID-2 With Formulas'!$S$9="Swine",'P2O5 SOLID-2 With Formulas'!$H33="si",'P2O5 SOLID-2 With Formulas'!$I33="slurry"),0.8,'Formula Sheet'!E32)</f>
        <v>0</v>
      </c>
      <c r="E32">
        <f>IF(AND('P2O5 SOLID-2 With Formulas'!$S$9="Swine",'P2O5 SOLID-2 With Formulas'!$H33="in",'P2O5 SOLID-2 With Formulas'!$I33="slurry"),0.8,'Formula Sheet'!F32)</f>
        <v>0</v>
      </c>
      <c r="F32">
        <f>IF(AND('P2O5 SOLID-2 With Formulas'!$S$9="Swine",'P2O5 SOLID-2 With Formulas'!$H33="in",'P2O5 SOLID-2 With Formulas'!$I33="sludge"),0.8,'Formula Sheet'!G32)</f>
        <v>0</v>
      </c>
      <c r="G32">
        <f>IF(AND('P2O5 SOLID-2 With Formulas'!$S$9="Swine",'P2O5 SOLID-2 With Formulas'!$H33="si",'P2O5 SOLID-2 With Formulas'!$I33="sludge"),0.8,'Formula Sheet'!H32)</f>
        <v>0</v>
      </c>
      <c r="H32">
        <f>IF(AND('P2O5 SOLID-2 With Formulas'!$S$9="Swine",'P2O5 SOLID-2 With Formulas'!$H33="br",'P2O5 SOLID-2 With Formulas'!$I33="sludge"),0.7,'Formula Sheet'!I32)</f>
        <v>0</v>
      </c>
      <c r="I32">
        <f>IF(AND('P2O5 SOLID-2 With Formulas'!S21="Swine",'P2O5 SOLID-2 With Formulas'!H33="br",'P2O5 SOLID-2 With Formulas'!I33="dmsssp"),"ERROR",'Formula Sheet'!J32)</f>
        <v>0</v>
      </c>
      <c r="J32">
        <f>IF(AND('P2O5 SOLID-2 With Formulas'!$S$9="Swine",'P2O5 SOLID-2 With Formulas'!$H33="si",'P2O5 SOLID-2 With Formulas'!$I33="dmsssp"),"ERROR",'Formula Sheet'!K32)</f>
        <v>0</v>
      </c>
      <c r="K32">
        <f>IF(AND('P2O5 SOLID-2 With Formulas'!$S$9="Swine",'P2O5 SOLID-2 With Formulas'!$H33="in",'P2O5 SOLID-2 With Formulas'!$I33="dmsssp"),"ERROR",'Formula Sheet'!L32)</f>
        <v>0</v>
      </c>
      <c r="L32">
        <f>IF(AND('P2O5 SOLID-2 With Formulas'!$S$9="Poultry",'P2O5 SOLID-2 With Formulas'!$H33="br",'P2O5 SOLID-2 With Formulas'!$I33="slurry"),0.7,'Formula Sheet'!M32)</f>
        <v>0</v>
      </c>
      <c r="M32">
        <f>IF(AND('P2O5 SOLID-2 With Formulas'!$S$9="Poultry",'P2O5 SOLID-2 With Formulas'!$H33="si",'P2O5 SOLID-2 With Formulas'!$I33="slurry"),0.8,'Formula Sheet'!N32)</f>
        <v>0</v>
      </c>
      <c r="N32">
        <f>IF(AND('P2O5 SOLID-2 With Formulas'!$S$9="Poultry",'P2O5 SOLID-2 With Formulas'!$H33="in",'P2O5 SOLID-2 With Formulas'!$I33="slurry"),0.8,'Formula Sheet'!O32)</f>
        <v>0</v>
      </c>
      <c r="O32">
        <f>IF(AND('P2O5 SOLID-2 With Formulas'!$S$9="Poultry",'P2O5 SOLID-2 With Formulas'!$H33="br",'P2O5 SOLID-2 With Formulas'!$I33="sludge"),0.7,'Formula Sheet'!P32)</f>
        <v>0</v>
      </c>
      <c r="P32">
        <f>IF(AND('P2O5 SOLID-2 With Formulas'!$S$9="Poultry",'P2O5 SOLID-2 With Formulas'!$H33="si",'P2O5 SOLID-2 With Formulas'!$I33="sludge"),0.8,'Formula Sheet'!Q32)</f>
        <v>0</v>
      </c>
      <c r="Q32">
        <f>IF(AND('P2O5 SOLID-2 With Formulas'!$S$9="Poultry",'P2O5 SOLID-2 With Formulas'!$H33="in",'P2O5 SOLID-2 With Formulas'!$I33="sludge"),0.7,'Formula Sheet'!R32)</f>
        <v>0</v>
      </c>
      <c r="R32">
        <f>IF(AND('P2O5 SOLID-2 With Formulas'!$S$9="Poultry",'P2O5 SOLID-2 With Formulas'!$H33="br",'P2O5 SOLID-2 With Formulas'!$I33="dmsssp"),"ERROR",'Formula Sheet'!S32)</f>
        <v>0</v>
      </c>
      <c r="S32">
        <f>IF(AND('P2O5 SOLID-2 With Formulas'!$S$9="Poultry",'P2O5 SOLID-2 With Formulas'!$H33="si",'P2O5 SOLID-2 With Formulas'!$I33="dmsssp"),"ERROR",'Formula Sheet'!T32)</f>
        <v>0</v>
      </c>
      <c r="T32">
        <f>IF(AND('P2O5 SOLID-2 With Formulas'!$S$9="Poultry",'P2O5 SOLID-2 With Formulas'!$H33="in",'P2O5 SOLID-2 With Formulas'!$I33="dmsssp"),"ERROR",'Formula Sheet'!U32)</f>
        <v>0</v>
      </c>
      <c r="U32">
        <f>IF(AND('P2O5 SOLID-2 With Formulas'!$S$9="Dairy",'P2O5 SOLID-2 With Formulas'!$H33="br",'P2O5 SOLID-2 With Formulas'!$I33="slurry"),0.7,'Formula Sheet'!V32)</f>
        <v>0</v>
      </c>
      <c r="V32">
        <f>IF(AND('P2O5 SOLID-2 With Formulas'!$S$9="Dairy",'P2O5 SOLID-2 With Formulas'!$H33="si",'P2O5 SOLID-2 With Formulas'!$I33="slurry"),0.8,'Formula Sheet'!W32)</f>
        <v>0</v>
      </c>
      <c r="W32">
        <f>IF(AND('P2O5 SOLID-2 With Formulas'!$S$9="Dairy",'P2O5 SOLID-2 With Formulas'!$H33="in",'P2O5 SOLID-2 With Formulas'!$I33="slurry"),0.8,'Formula Sheet'!X32)</f>
        <v>0</v>
      </c>
      <c r="X32">
        <f>IF(AND('P2O5 SOLID-2 With Formulas'!$S$9="Dairy",'P2O5 SOLID-2 With Formulas'!$H33="br",'P2O5 SOLID-2 With Formulas'!$I33="sludge"),"ERROR",'Formula Sheet'!Y32)</f>
        <v>0</v>
      </c>
      <c r="Y32">
        <f>IF(AND('P2O5 SOLID-2 With Formulas'!$S$9="Dairy",'P2O5 SOLID-2 With Formulas'!$H33="si",'P2O5 SOLID-2 With Formulas'!$I33="sludge"),"ERROR",'Formula Sheet'!Z32)</f>
        <v>0</v>
      </c>
      <c r="Z32">
        <f>IF(AND('P2O5 SOLID-2 With Formulas'!$S$9="Dairy",'P2O5 SOLID-2 With Formulas'!$H33="in",'P2O5 SOLID-2 With Formulas'!$I33="sludge"),"ERROR",'Formula Sheet'!AA32)</f>
        <v>0</v>
      </c>
      <c r="AA32">
        <f>IF(AND('P2O5 SOLID-2 With Formulas'!$S$9="Dairy",'P2O5 SOLID-2 With Formulas'!$H33="br",'P2O5 SOLID-2 With Formulas'!$I33="dmsssp"),0.6,'Formula Sheet'!AB32)</f>
        <v>0</v>
      </c>
      <c r="AB32">
        <f>IF(AND('P2O5 SOLID-2 With Formulas'!$S$9="Dairy",'P2O5 SOLID-2 With Formulas'!$H33="si",'P2O5 SOLID-2 With Formulas'!$I33="dmsssp"),0.75,'Formula Sheet'!AC32)</f>
        <v>0</v>
      </c>
      <c r="AC32">
        <f>IF(AND('P2O5 SOLID-2 With Formulas'!$S$9="Dairy",'P2O5 SOLID-2 With Formulas'!$H33="in",'P2O5 SOLID-2 With Formulas'!$I33="dmsssp"),"ERROR",'Formula Sheet'!AD32)</f>
        <v>0</v>
      </c>
    </row>
    <row r="33" spans="3:29" ht="12.75">
      <c r="C33" t="e">
        <f>IF(AND('P2O5 SOLID-2 With Formulas'!$S$9="Swine",'P2O5 SOLID-2 With Formulas'!#REF!="br",'P2O5 SOLID-2 With Formulas'!#REF!="slurry"),0.7,'Formula Sheet'!D33)</f>
        <v>#REF!</v>
      </c>
      <c r="D33" t="e">
        <f>IF(AND('P2O5 SOLID-2 With Formulas'!$S$9="Swine",'P2O5 SOLID-2 With Formulas'!#REF!="si",'P2O5 SOLID-2 With Formulas'!#REF!="slurry"),0.8,'Formula Sheet'!E33)</f>
        <v>#REF!</v>
      </c>
      <c r="E33" t="e">
        <f>IF(AND('P2O5 SOLID-2 With Formulas'!$S$9="Swine",'P2O5 SOLID-2 With Formulas'!#REF!="in",'P2O5 SOLID-2 With Formulas'!#REF!="slurry"),0.8,'Formula Sheet'!F33)</f>
        <v>#REF!</v>
      </c>
      <c r="F33" t="e">
        <f>IF(AND('P2O5 SOLID-2 With Formulas'!$S$9="Swine",'P2O5 SOLID-2 With Formulas'!#REF!="in",'P2O5 SOLID-2 With Formulas'!#REF!="sludge"),0.8,'Formula Sheet'!G33)</f>
        <v>#REF!</v>
      </c>
      <c r="G33" t="e">
        <f>IF(AND('P2O5 SOLID-2 With Formulas'!$S$9="Swine",'P2O5 SOLID-2 With Formulas'!#REF!="si",'P2O5 SOLID-2 With Formulas'!#REF!="sludge"),0.8,'Formula Sheet'!H33)</f>
        <v>#REF!</v>
      </c>
      <c r="H33" t="e">
        <f>IF(AND('P2O5 SOLID-2 With Formulas'!$S$9="Swine",'P2O5 SOLID-2 With Formulas'!#REF!="br",'P2O5 SOLID-2 With Formulas'!#REF!="sludge"),0.7,'Formula Sheet'!I33)</f>
        <v>#REF!</v>
      </c>
      <c r="I33" t="e">
        <f>IF(AND('P2O5 SOLID-2 With Formulas'!S22="Swine",'P2O5 SOLID-2 With Formulas'!#REF!="br",'P2O5 SOLID-2 With Formulas'!#REF!="dmsssp"),"ERROR",'Formula Sheet'!J33)</f>
        <v>#REF!</v>
      </c>
      <c r="J33" t="e">
        <f>IF(AND('P2O5 SOLID-2 With Formulas'!$S$9="Swine",'P2O5 SOLID-2 With Formulas'!#REF!="si",'P2O5 SOLID-2 With Formulas'!#REF!="dmsssp"),"ERROR",'Formula Sheet'!K33)</f>
        <v>#REF!</v>
      </c>
      <c r="K33" t="e">
        <f>IF(AND('P2O5 SOLID-2 With Formulas'!$S$9="Swine",'P2O5 SOLID-2 With Formulas'!#REF!="in",'P2O5 SOLID-2 With Formulas'!#REF!="dmsssp"),"ERROR",'Formula Sheet'!L33)</f>
        <v>#REF!</v>
      </c>
      <c r="L33" t="e">
        <f>IF(AND('P2O5 SOLID-2 With Formulas'!$S$9="Poultry",'P2O5 SOLID-2 With Formulas'!#REF!="br",'P2O5 SOLID-2 With Formulas'!#REF!="slurry"),0.7,'Formula Sheet'!M33)</f>
        <v>#REF!</v>
      </c>
      <c r="M33" t="e">
        <f>IF(AND('P2O5 SOLID-2 With Formulas'!$S$9="Poultry",'P2O5 SOLID-2 With Formulas'!#REF!="si",'P2O5 SOLID-2 With Formulas'!#REF!="slurry"),0.8,'Formula Sheet'!N33)</f>
        <v>#REF!</v>
      </c>
      <c r="N33" t="e">
        <f>IF(AND('P2O5 SOLID-2 With Formulas'!$S$9="Poultry",'P2O5 SOLID-2 With Formulas'!#REF!="in",'P2O5 SOLID-2 With Formulas'!#REF!="slurry"),0.8,'Formula Sheet'!O33)</f>
        <v>#REF!</v>
      </c>
      <c r="O33" t="e">
        <f>IF(AND('P2O5 SOLID-2 With Formulas'!$S$9="Poultry",'P2O5 SOLID-2 With Formulas'!#REF!="br",'P2O5 SOLID-2 With Formulas'!#REF!="sludge"),0.7,'Formula Sheet'!P33)</f>
        <v>#REF!</v>
      </c>
      <c r="P33" t="e">
        <f>IF(AND('P2O5 SOLID-2 With Formulas'!$S$9="Poultry",'P2O5 SOLID-2 With Formulas'!#REF!="si",'P2O5 SOLID-2 With Formulas'!#REF!="sludge"),0.8,'Formula Sheet'!Q33)</f>
        <v>#REF!</v>
      </c>
      <c r="Q33" t="e">
        <f>IF(AND('P2O5 SOLID-2 With Formulas'!$S$9="Poultry",'P2O5 SOLID-2 With Formulas'!#REF!="in",'P2O5 SOLID-2 With Formulas'!#REF!="sludge"),0.7,'Formula Sheet'!R33)</f>
        <v>#REF!</v>
      </c>
      <c r="R33" t="e">
        <f>IF(AND('P2O5 SOLID-2 With Formulas'!$S$9="Poultry",'P2O5 SOLID-2 With Formulas'!#REF!="br",'P2O5 SOLID-2 With Formulas'!#REF!="dmsssp"),"ERROR",'Formula Sheet'!S33)</f>
        <v>#REF!</v>
      </c>
      <c r="S33" t="e">
        <f>IF(AND('P2O5 SOLID-2 With Formulas'!$S$9="Poultry",'P2O5 SOLID-2 With Formulas'!#REF!="si",'P2O5 SOLID-2 With Formulas'!#REF!="dmsssp"),"ERROR",'Formula Sheet'!T33)</f>
        <v>#REF!</v>
      </c>
      <c r="T33" t="e">
        <f>IF(AND('P2O5 SOLID-2 With Formulas'!$S$9="Poultry",'P2O5 SOLID-2 With Formulas'!#REF!="in",'P2O5 SOLID-2 With Formulas'!#REF!="dmsssp"),"ERROR",'Formula Sheet'!U33)</f>
        <v>#REF!</v>
      </c>
      <c r="U33" t="e">
        <f>IF(AND('P2O5 SOLID-2 With Formulas'!$S$9="Dairy",'P2O5 SOLID-2 With Formulas'!#REF!="br",'P2O5 SOLID-2 With Formulas'!#REF!="slurry"),0.7,'Formula Sheet'!V33)</f>
        <v>#REF!</v>
      </c>
      <c r="V33" t="e">
        <f>IF(AND('P2O5 SOLID-2 With Formulas'!$S$9="Dairy",'P2O5 SOLID-2 With Formulas'!#REF!="si",'P2O5 SOLID-2 With Formulas'!#REF!="slurry"),0.8,'Formula Sheet'!W33)</f>
        <v>#REF!</v>
      </c>
      <c r="W33" t="e">
        <f>IF(AND('P2O5 SOLID-2 With Formulas'!$S$9="Dairy",'P2O5 SOLID-2 With Formulas'!#REF!="in",'P2O5 SOLID-2 With Formulas'!#REF!="slurry"),0.8,'Formula Sheet'!X33)</f>
        <v>#REF!</v>
      </c>
      <c r="X33" t="e">
        <f>IF(AND('P2O5 SOLID-2 With Formulas'!$S$9="Dairy",'P2O5 SOLID-2 With Formulas'!#REF!="br",'P2O5 SOLID-2 With Formulas'!#REF!="sludge"),"ERROR",'Formula Sheet'!Y33)</f>
        <v>#REF!</v>
      </c>
      <c r="Y33" t="e">
        <f>IF(AND('P2O5 SOLID-2 With Formulas'!$S$9="Dairy",'P2O5 SOLID-2 With Formulas'!#REF!="si",'P2O5 SOLID-2 With Formulas'!#REF!="sludge"),"ERROR",'Formula Sheet'!Z33)</f>
        <v>#REF!</v>
      </c>
      <c r="Z33" t="e">
        <f>IF(AND('P2O5 SOLID-2 With Formulas'!$S$9="Dairy",'P2O5 SOLID-2 With Formulas'!#REF!="in",'P2O5 SOLID-2 With Formulas'!#REF!="sludge"),"ERROR",'Formula Sheet'!AA33)</f>
        <v>#REF!</v>
      </c>
      <c r="AA33" t="e">
        <f>IF(AND('P2O5 SOLID-2 With Formulas'!$S$9="Dairy",'P2O5 SOLID-2 With Formulas'!#REF!="br",'P2O5 SOLID-2 With Formulas'!#REF!="dmsssp"),0.6,'Formula Sheet'!AB33)</f>
        <v>#REF!</v>
      </c>
      <c r="AB33" t="e">
        <f>IF(AND('P2O5 SOLID-2 With Formulas'!$S$9="Dairy",'P2O5 SOLID-2 With Formulas'!#REF!="si",'P2O5 SOLID-2 With Formulas'!#REF!="dmsssp"),0.75,'Formula Sheet'!AC33)</f>
        <v>#REF!</v>
      </c>
      <c r="AC33" t="e">
        <f>IF(AND('P2O5 SOLID-2 With Formulas'!$S$9="Dairy",'P2O5 SOLID-2 With Formulas'!#REF!="in",'P2O5 SOLID-2 With Formulas'!#REF!="dmsssp"),"ERROR",'Formula Sheet'!AD33)</f>
        <v>#REF!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CJ145"/>
  <sheetViews>
    <sheetView showGridLines="0" workbookViewId="0" topLeftCell="A1">
      <selection activeCell="Y60" sqref="Y60"/>
    </sheetView>
  </sheetViews>
  <sheetFormatPr defaultColWidth="9.140625" defaultRowHeight="12.75"/>
  <cols>
    <col min="1" max="1" width="4.00390625" style="1" customWidth="1"/>
    <col min="2" max="2" width="8.57421875" style="1" customWidth="1"/>
    <col min="3" max="3" width="7.7109375" style="1" customWidth="1"/>
    <col min="4" max="4" width="7.421875" style="1" customWidth="1"/>
    <col min="5" max="5" width="6.140625" style="1" customWidth="1"/>
    <col min="6" max="6" width="7.8515625" style="1" customWidth="1"/>
    <col min="7" max="7" width="5.8515625" style="1" customWidth="1"/>
    <col min="8" max="8" width="10.421875" style="1" customWidth="1"/>
    <col min="9" max="9" width="8.421875" style="1" customWidth="1"/>
    <col min="10" max="12" width="7.7109375" style="1" customWidth="1"/>
    <col min="13" max="13" width="7.00390625" style="1" customWidth="1"/>
    <col min="14" max="14" width="7.140625" style="1" customWidth="1"/>
    <col min="15" max="15" width="2.421875" style="1" customWidth="1"/>
    <col min="16" max="16" width="6.140625" style="1" customWidth="1"/>
    <col min="17" max="17" width="2.7109375" style="1" customWidth="1"/>
    <col min="18" max="18" width="6.00390625" style="1" customWidth="1"/>
    <col min="19" max="19" width="3.28125" style="1" customWidth="1"/>
    <col min="20" max="21" width="3.140625" style="1" customWidth="1"/>
    <col min="22" max="22" width="4.7109375" style="1" customWidth="1"/>
    <col min="23" max="16384" width="9.140625" style="1" customWidth="1"/>
  </cols>
  <sheetData>
    <row r="1" spans="1:88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</row>
    <row r="2" spans="1:88" ht="13.5">
      <c r="A2" s="3" t="s">
        <v>204</v>
      </c>
      <c r="B2" s="3"/>
      <c r="C2" s="3"/>
      <c r="D2" s="3"/>
      <c r="E2" s="12"/>
      <c r="F2" s="12"/>
      <c r="G2" s="5" t="s">
        <v>0</v>
      </c>
      <c r="H2" s="12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</row>
    <row r="3" spans="1:88" ht="12.75">
      <c r="A3" s="5"/>
      <c r="B3" s="12"/>
      <c r="C3" s="12"/>
      <c r="D3" s="12"/>
      <c r="E3" s="5"/>
      <c r="F3" s="5"/>
      <c r="G3" s="5" t="s">
        <v>63</v>
      </c>
      <c r="H3" s="1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</row>
    <row r="4" spans="1:88" ht="12.75">
      <c r="A4" s="5"/>
      <c r="B4" s="12"/>
      <c r="C4" s="12"/>
      <c r="D4" s="1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</row>
    <row r="5" spans="1:88" ht="12.75">
      <c r="A5" s="5"/>
      <c r="B5" s="5"/>
      <c r="C5" s="5"/>
      <c r="D5" s="7" t="s">
        <v>49</v>
      </c>
      <c r="E5" s="6"/>
      <c r="F5" s="18" t="s">
        <v>1</v>
      </c>
      <c r="G5" s="6"/>
      <c r="H5" s="5" t="s">
        <v>31</v>
      </c>
      <c r="I5" s="5"/>
      <c r="J5" s="5"/>
      <c r="K5" s="5" t="s">
        <v>2</v>
      </c>
      <c r="L5" s="160"/>
      <c r="M5" s="201"/>
      <c r="N5" s="8" t="s">
        <v>74</v>
      </c>
      <c r="O5" s="32"/>
      <c r="P5" s="13"/>
      <c r="Q5" s="13"/>
      <c r="R5" s="165"/>
      <c r="S5" s="250"/>
      <c r="T5" s="34"/>
      <c r="U5" s="34"/>
      <c r="V5" s="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</row>
    <row r="6" spans="1:88" ht="12.75">
      <c r="A6" s="5"/>
      <c r="B6" s="12"/>
      <c r="C6" s="5"/>
      <c r="D6" s="7" t="s">
        <v>48</v>
      </c>
      <c r="E6" s="230"/>
      <c r="F6" s="231"/>
      <c r="G6" s="232"/>
      <c r="H6" s="5"/>
      <c r="I6" s="5"/>
      <c r="J6" s="5"/>
      <c r="K6" s="5"/>
      <c r="L6" s="5"/>
      <c r="M6" s="5"/>
      <c r="N6" s="120" t="s">
        <v>173</v>
      </c>
      <c r="O6" s="5"/>
      <c r="P6" s="5"/>
      <c r="Q6" s="5"/>
      <c r="R6" s="5"/>
      <c r="S6" s="5"/>
      <c r="T6" s="5"/>
      <c r="U6" s="5"/>
      <c r="V6" s="5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</row>
    <row r="7" spans="1:88" ht="12.75" customHeight="1">
      <c r="A7" s="5"/>
      <c r="B7" s="5"/>
      <c r="C7" s="7"/>
      <c r="D7" s="7" t="s">
        <v>3</v>
      </c>
      <c r="E7" s="160"/>
      <c r="F7" s="154"/>
      <c r="G7" s="211"/>
      <c r="H7" s="5"/>
      <c r="I7" s="7"/>
      <c r="J7" s="7" t="s">
        <v>4</v>
      </c>
      <c r="K7" s="160"/>
      <c r="L7" s="200"/>
      <c r="M7" s="201"/>
      <c r="N7" s="12"/>
      <c r="O7" s="13"/>
      <c r="P7" s="119"/>
      <c r="Q7" s="34"/>
      <c r="R7" s="121"/>
      <c r="S7" s="122"/>
      <c r="T7" s="34"/>
      <c r="U7" s="34"/>
      <c r="V7" s="5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</row>
    <row r="8" spans="1:88" ht="12.75">
      <c r="A8" s="5"/>
      <c r="B8" s="5"/>
      <c r="C8" s="7"/>
      <c r="D8" s="7" t="s">
        <v>5</v>
      </c>
      <c r="E8" s="202"/>
      <c r="F8" s="203"/>
      <c r="G8" s="212"/>
      <c r="H8" s="5"/>
      <c r="I8" s="15"/>
      <c r="J8" s="7" t="s">
        <v>6</v>
      </c>
      <c r="K8" s="202"/>
      <c r="L8" s="204"/>
      <c r="M8" s="205"/>
      <c r="N8" s="12"/>
      <c r="O8" s="12"/>
      <c r="P8" s="4"/>
      <c r="Q8" s="14"/>
      <c r="R8" s="14"/>
      <c r="S8" s="5"/>
      <c r="T8" s="5"/>
      <c r="U8" s="5"/>
      <c r="V8" s="5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</row>
    <row r="9" spans="1:88" ht="12.75">
      <c r="A9" s="5"/>
      <c r="B9" s="5"/>
      <c r="C9" s="5"/>
      <c r="D9" s="7"/>
      <c r="E9" s="213"/>
      <c r="F9" s="214"/>
      <c r="G9" s="215"/>
      <c r="H9" s="5"/>
      <c r="I9" s="5"/>
      <c r="J9" s="7" t="s">
        <v>46</v>
      </c>
      <c r="K9" s="206"/>
      <c r="L9" s="207"/>
      <c r="M9" s="208"/>
      <c r="N9" s="253" t="s">
        <v>152</v>
      </c>
      <c r="O9" s="254"/>
      <c r="P9" s="254"/>
      <c r="Q9" s="255"/>
      <c r="R9" s="251">
        <v>0.7</v>
      </c>
      <c r="S9" s="252"/>
      <c r="T9" s="34"/>
      <c r="U9" s="34"/>
      <c r="V9" s="5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</row>
    <row r="10" spans="1:88" ht="12.75" customHeight="1">
      <c r="A10" s="5"/>
      <c r="B10" s="5"/>
      <c r="C10" s="7"/>
      <c r="D10" s="7" t="s">
        <v>7</v>
      </c>
      <c r="E10" s="160"/>
      <c r="F10" s="154"/>
      <c r="G10" s="211"/>
      <c r="H10" s="5"/>
      <c r="I10" s="5"/>
      <c r="J10" s="7" t="s">
        <v>47</v>
      </c>
      <c r="K10" s="160"/>
      <c r="L10" s="200"/>
      <c r="M10" s="201"/>
      <c r="N10" s="12"/>
      <c r="O10" s="32"/>
      <c r="P10" s="12"/>
      <c r="Q10" s="13"/>
      <c r="R10" s="33"/>
      <c r="S10" s="34"/>
      <c r="T10" s="34"/>
      <c r="U10" s="34"/>
      <c r="V10" s="34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</row>
    <row r="11" spans="1:88" ht="12.75" customHeight="1">
      <c r="A11" s="5"/>
      <c r="B11" s="5"/>
      <c r="C11" s="5"/>
      <c r="D11" s="7"/>
      <c r="E11" s="4"/>
      <c r="F11" s="4"/>
      <c r="G11" s="4"/>
      <c r="H11" s="25" t="s">
        <v>52</v>
      </c>
      <c r="I11" s="24"/>
      <c r="J11" s="24"/>
      <c r="K11" s="5"/>
      <c r="L11" s="5"/>
      <c r="M11" s="5"/>
      <c r="N11" s="5"/>
      <c r="O11" s="5"/>
      <c r="P11" s="5"/>
      <c r="Q11" s="5"/>
      <c r="R11" s="284"/>
      <c r="S11" s="284"/>
      <c r="T11" s="284"/>
      <c r="U11" s="284"/>
      <c r="V11" s="284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</row>
    <row r="12" spans="1:88" ht="16.5" customHeight="1">
      <c r="A12" s="5"/>
      <c r="B12" s="5"/>
      <c r="C12" s="5"/>
      <c r="D12" s="7" t="s">
        <v>8</v>
      </c>
      <c r="E12" s="272"/>
      <c r="F12" s="273"/>
      <c r="G12" s="274"/>
      <c r="H12" s="5"/>
      <c r="I12" s="5"/>
      <c r="J12" s="7" t="s">
        <v>9</v>
      </c>
      <c r="K12" s="289"/>
      <c r="L12" s="290"/>
      <c r="M12" s="291"/>
      <c r="N12" s="246" t="s">
        <v>165</v>
      </c>
      <c r="O12" s="247"/>
      <c r="P12" s="247"/>
      <c r="Q12" s="248"/>
      <c r="R12" s="249"/>
      <c r="S12" s="210"/>
      <c r="T12" s="210"/>
      <c r="U12" s="210"/>
      <c r="V12" s="210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</row>
    <row r="13" spans="1:88" ht="12.75" customHeight="1">
      <c r="A13" s="5"/>
      <c r="B13" s="5"/>
      <c r="C13" s="5"/>
      <c r="D13" s="5"/>
      <c r="E13" s="275"/>
      <c r="F13" s="276"/>
      <c r="G13" s="277"/>
      <c r="H13" s="5"/>
      <c r="I13" s="5"/>
      <c r="J13" s="7" t="s">
        <v>10</v>
      </c>
      <c r="K13" s="292"/>
      <c r="L13" s="293"/>
      <c r="M13" s="294"/>
      <c r="N13" s="246"/>
      <c r="O13" s="247"/>
      <c r="P13" s="247"/>
      <c r="Q13" s="248"/>
      <c r="R13" s="210"/>
      <c r="S13" s="210"/>
      <c r="T13" s="210"/>
      <c r="U13" s="210"/>
      <c r="V13" s="210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</row>
    <row r="14" spans="1:88" s="2" customFormat="1" ht="15" customHeight="1">
      <c r="A14" s="27"/>
      <c r="B14" s="17" t="s">
        <v>11</v>
      </c>
      <c r="C14" s="17" t="s">
        <v>12</v>
      </c>
      <c r="D14" s="17" t="s">
        <v>13</v>
      </c>
      <c r="E14" s="17" t="s">
        <v>14</v>
      </c>
      <c r="F14" s="17" t="s">
        <v>15</v>
      </c>
      <c r="G14" s="17" t="s">
        <v>16</v>
      </c>
      <c r="H14" s="17" t="s">
        <v>17</v>
      </c>
      <c r="I14" s="17" t="s">
        <v>18</v>
      </c>
      <c r="J14" s="11" t="s">
        <v>19</v>
      </c>
      <c r="K14" s="11" t="s">
        <v>20</v>
      </c>
      <c r="L14" s="17" t="s">
        <v>78</v>
      </c>
      <c r="M14" s="17" t="s">
        <v>21</v>
      </c>
      <c r="N14" s="17" t="s">
        <v>40</v>
      </c>
      <c r="O14" s="11"/>
      <c r="P14" s="16" t="s">
        <v>44</v>
      </c>
      <c r="Q14" s="17"/>
      <c r="R14" s="16" t="s">
        <v>45</v>
      </c>
      <c r="S14" s="17"/>
      <c r="T14" s="113"/>
      <c r="U14" s="113"/>
      <c r="V14" s="11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</row>
    <row r="15" spans="1:88" ht="12.75" customHeight="1">
      <c r="A15" s="257" t="s">
        <v>70</v>
      </c>
      <c r="B15" s="35"/>
      <c r="C15" s="35"/>
      <c r="D15" s="12"/>
      <c r="E15" s="268" t="s">
        <v>72</v>
      </c>
      <c r="F15" s="268" t="s">
        <v>71</v>
      </c>
      <c r="G15" s="268" t="s">
        <v>69</v>
      </c>
      <c r="H15" s="268" t="s">
        <v>179</v>
      </c>
      <c r="I15" s="268" t="s">
        <v>148</v>
      </c>
      <c r="J15" s="268" t="s">
        <v>155</v>
      </c>
      <c r="K15" s="268" t="s">
        <v>156</v>
      </c>
      <c r="L15" s="30"/>
      <c r="M15" s="35"/>
      <c r="N15" s="86" t="s">
        <v>25</v>
      </c>
      <c r="O15" s="260" t="s">
        <v>157</v>
      </c>
      <c r="P15" s="261"/>
      <c r="Q15" s="267" t="s">
        <v>159</v>
      </c>
      <c r="R15" s="261"/>
      <c r="S15" s="300" t="s">
        <v>160</v>
      </c>
      <c r="T15" s="301"/>
      <c r="U15" s="301"/>
      <c r="V15" s="281" t="s">
        <v>163</v>
      </c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</row>
    <row r="16" spans="1:88" ht="12.75">
      <c r="A16" s="258"/>
      <c r="B16" s="30"/>
      <c r="C16" s="30"/>
      <c r="D16" s="12"/>
      <c r="E16" s="269"/>
      <c r="F16" s="269"/>
      <c r="G16" s="269"/>
      <c r="H16" s="269"/>
      <c r="I16" s="269"/>
      <c r="J16" s="269"/>
      <c r="K16" s="269"/>
      <c r="L16" s="31" t="s">
        <v>68</v>
      </c>
      <c r="M16" s="86" t="s">
        <v>30</v>
      </c>
      <c r="N16" s="36" t="s">
        <v>106</v>
      </c>
      <c r="O16" s="262"/>
      <c r="P16" s="263"/>
      <c r="Q16" s="262"/>
      <c r="R16" s="263"/>
      <c r="S16" s="301"/>
      <c r="T16" s="301"/>
      <c r="U16" s="301"/>
      <c r="V16" s="282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</row>
    <row r="17" spans="1:88" ht="12.75" customHeight="1">
      <c r="A17" s="258"/>
      <c r="B17" s="31" t="s">
        <v>23</v>
      </c>
      <c r="C17" s="86" t="s">
        <v>24</v>
      </c>
      <c r="D17" s="87" t="s">
        <v>73</v>
      </c>
      <c r="E17" s="269"/>
      <c r="F17" s="269"/>
      <c r="G17" s="269"/>
      <c r="H17" s="269"/>
      <c r="I17" s="269"/>
      <c r="J17" s="269"/>
      <c r="K17" s="269"/>
      <c r="L17" s="31" t="s">
        <v>41</v>
      </c>
      <c r="M17" s="86" t="s">
        <v>39</v>
      </c>
      <c r="N17" s="88" t="s">
        <v>39</v>
      </c>
      <c r="O17" s="262"/>
      <c r="P17" s="263"/>
      <c r="Q17" s="262"/>
      <c r="R17" s="263"/>
      <c r="S17" s="168" t="s">
        <v>120</v>
      </c>
      <c r="T17" s="168" t="s">
        <v>130</v>
      </c>
      <c r="U17" s="168" t="s">
        <v>131</v>
      </c>
      <c r="V17" s="282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</row>
    <row r="18" spans="1:88" ht="6.75" customHeight="1" hidden="1">
      <c r="A18" s="258"/>
      <c r="B18" s="31"/>
      <c r="C18" s="89" t="s">
        <v>31</v>
      </c>
      <c r="D18" s="86"/>
      <c r="E18" s="270"/>
      <c r="F18" s="270"/>
      <c r="G18" s="270"/>
      <c r="H18" s="270"/>
      <c r="I18" s="270"/>
      <c r="J18" s="270"/>
      <c r="K18" s="270"/>
      <c r="L18" s="91"/>
      <c r="M18" s="90"/>
      <c r="N18" s="86"/>
      <c r="O18" s="264"/>
      <c r="P18" s="263"/>
      <c r="Q18" s="264"/>
      <c r="R18" s="263"/>
      <c r="S18" s="173"/>
      <c r="T18" s="173"/>
      <c r="U18" s="173"/>
      <c r="V18" s="270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</row>
    <row r="19" spans="1:88" ht="12.75" customHeight="1">
      <c r="A19" s="258"/>
      <c r="B19" s="31" t="s">
        <v>27</v>
      </c>
      <c r="C19" s="86" t="s">
        <v>28</v>
      </c>
      <c r="D19" s="87" t="s">
        <v>28</v>
      </c>
      <c r="E19" s="270"/>
      <c r="F19" s="270"/>
      <c r="G19" s="270"/>
      <c r="H19" s="270"/>
      <c r="I19" s="270"/>
      <c r="J19" s="270"/>
      <c r="K19" s="270"/>
      <c r="L19" s="278" t="s">
        <v>149</v>
      </c>
      <c r="M19" s="279" t="s">
        <v>151</v>
      </c>
      <c r="N19" s="278" t="s">
        <v>150</v>
      </c>
      <c r="O19" s="264"/>
      <c r="P19" s="263"/>
      <c r="Q19" s="264"/>
      <c r="R19" s="263"/>
      <c r="S19" s="173"/>
      <c r="T19" s="173"/>
      <c r="U19" s="173"/>
      <c r="V19" s="270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</row>
    <row r="20" spans="1:88" ht="12.75" customHeight="1">
      <c r="A20" s="258"/>
      <c r="B20" s="92"/>
      <c r="C20" s="93"/>
      <c r="D20" s="94"/>
      <c r="E20" s="270"/>
      <c r="F20" s="270"/>
      <c r="G20" s="270"/>
      <c r="H20" s="270"/>
      <c r="I20" s="270"/>
      <c r="J20" s="270"/>
      <c r="K20" s="270"/>
      <c r="L20" s="270"/>
      <c r="M20" s="280"/>
      <c r="N20" s="298"/>
      <c r="O20" s="264"/>
      <c r="P20" s="263"/>
      <c r="Q20" s="264"/>
      <c r="R20" s="263"/>
      <c r="S20" s="173"/>
      <c r="T20" s="173"/>
      <c r="U20" s="173"/>
      <c r="V20" s="27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</row>
    <row r="21" spans="1:88" ht="12.75" customHeight="1">
      <c r="A21" s="258"/>
      <c r="B21" s="92"/>
      <c r="C21" s="93"/>
      <c r="D21" s="94"/>
      <c r="E21" s="95"/>
      <c r="F21" s="96"/>
      <c r="G21" s="96"/>
      <c r="H21" s="97"/>
      <c r="I21" s="97"/>
      <c r="J21" s="98"/>
      <c r="K21" s="98"/>
      <c r="L21" s="270"/>
      <c r="M21" s="280"/>
      <c r="N21" s="298"/>
      <c r="O21" s="265"/>
      <c r="P21" s="266"/>
      <c r="Q21" s="265"/>
      <c r="R21" s="266"/>
      <c r="S21" s="173"/>
      <c r="T21" s="173"/>
      <c r="U21" s="173"/>
      <c r="V21" s="270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</row>
    <row r="22" spans="1:88" ht="12.75" customHeight="1">
      <c r="A22" s="259"/>
      <c r="B22" s="92"/>
      <c r="C22" s="93"/>
      <c r="D22" s="99"/>
      <c r="E22" s="60"/>
      <c r="F22" s="100"/>
      <c r="G22" s="100"/>
      <c r="H22" s="68"/>
      <c r="I22" s="68"/>
      <c r="J22" s="101"/>
      <c r="K22" s="102"/>
      <c r="L22" s="98" t="s">
        <v>79</v>
      </c>
      <c r="M22" s="103"/>
      <c r="N22" s="299"/>
      <c r="O22" s="104" t="s">
        <v>33</v>
      </c>
      <c r="P22" s="105">
        <f>IF(K12="","",(CONCATENATE(K12)-P47))</f>
      </c>
      <c r="Q22" s="106" t="s">
        <v>43</v>
      </c>
      <c r="R22" s="105">
        <f>IF(R12="","",(CONCATENATE(R12)-S47))</f>
      </c>
      <c r="S22" s="167"/>
      <c r="T22" s="167"/>
      <c r="U22" s="167"/>
      <c r="V22" s="283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</row>
    <row r="23" spans="1:88" ht="12.75" customHeight="1">
      <c r="A23" s="56"/>
      <c r="B23" s="63"/>
      <c r="C23" s="112"/>
      <c r="D23" s="112"/>
      <c r="E23" s="107">
        <f aca="true" t="shared" si="0" ref="E23:E36">IF(D23="","",(D23-C23)*1440+A100)</f>
      </c>
      <c r="F23" s="59"/>
      <c r="G23" s="59"/>
      <c r="H23" s="108">
        <f aca="true" t="shared" si="1" ref="H23:H36">IF(G23="","",E23*F23*G23)</f>
      </c>
      <c r="I23" s="108">
        <f>IF(H23="","",H23/E6)</f>
      </c>
      <c r="J23" s="58"/>
      <c r="K23" s="58"/>
      <c r="L23" s="109">
        <f>IF(K23="","",K23/R9)</f>
      </c>
      <c r="M23" s="50">
        <f aca="true" t="shared" si="2" ref="M23:M36">IF(J23="","",(I23*J23)/1000)</f>
      </c>
      <c r="N23" s="50">
        <f>IF(L23="","",(I23*L23)/1000)</f>
      </c>
      <c r="O23" s="189">
        <f>IF(M23="","",SUM(P22-M23))</f>
      </c>
      <c r="P23" s="256"/>
      <c r="Q23" s="189">
        <f>IF(N23="","",SUM(R22-N23))</f>
      </c>
      <c r="R23" s="256"/>
      <c r="S23" s="110"/>
      <c r="T23" s="110"/>
      <c r="U23" s="110"/>
      <c r="V23" s="111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</row>
    <row r="24" spans="1:88" ht="12.75" customHeight="1">
      <c r="A24" s="56"/>
      <c r="B24" s="63"/>
      <c r="C24" s="112"/>
      <c r="D24" s="112"/>
      <c r="E24" s="107">
        <f t="shared" si="0"/>
      </c>
      <c r="F24" s="59"/>
      <c r="G24" s="59"/>
      <c r="H24" s="108">
        <f t="shared" si="1"/>
      </c>
      <c r="I24" s="108">
        <f>IF(H24="","",H24/E6)</f>
      </c>
      <c r="J24" s="58"/>
      <c r="K24" s="58"/>
      <c r="L24" s="109">
        <f>IF(K24="","",K24/R9)</f>
      </c>
      <c r="M24" s="50">
        <f t="shared" si="2"/>
      </c>
      <c r="N24" s="50">
        <f aca="true" t="shared" si="3" ref="N24:N36">IF(L24="","",(I24*L24)/1000)</f>
      </c>
      <c r="O24" s="189">
        <f>IF(M24="","",SUM(O23-M24))</f>
      </c>
      <c r="P24" s="256"/>
      <c r="Q24" s="189">
        <f>IF(N24="","",SUM(Q23-N24))</f>
      </c>
      <c r="R24" s="256"/>
      <c r="S24" s="110"/>
      <c r="T24" s="110"/>
      <c r="U24" s="110"/>
      <c r="V24" s="111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</row>
    <row r="25" spans="1:88" ht="12.75" customHeight="1">
      <c r="A25" s="56"/>
      <c r="B25" s="63"/>
      <c r="C25" s="112"/>
      <c r="D25" s="112"/>
      <c r="E25" s="107">
        <f t="shared" si="0"/>
      </c>
      <c r="F25" s="59"/>
      <c r="G25" s="59"/>
      <c r="H25" s="108">
        <f t="shared" si="1"/>
      </c>
      <c r="I25" s="108">
        <f>IF(H25="","",H25/E6)</f>
      </c>
      <c r="J25" s="58"/>
      <c r="K25" s="58"/>
      <c r="L25" s="109">
        <f>IF(K25="","",K25/R9)</f>
      </c>
      <c r="M25" s="50">
        <f t="shared" si="2"/>
      </c>
      <c r="N25" s="50">
        <f t="shared" si="3"/>
      </c>
      <c r="O25" s="189">
        <f>IF(M25="","",SUM(O24-M25))</f>
      </c>
      <c r="P25" s="256"/>
      <c r="Q25" s="189">
        <f>IF(N25="","",SUM(Q24-N25))</f>
      </c>
      <c r="R25" s="256"/>
      <c r="S25" s="110"/>
      <c r="T25" s="110"/>
      <c r="U25" s="110"/>
      <c r="V25" s="111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</row>
    <row r="26" spans="1:88" ht="12.75" customHeight="1">
      <c r="A26" s="56"/>
      <c r="B26" s="63"/>
      <c r="C26" s="112"/>
      <c r="D26" s="112"/>
      <c r="E26" s="107">
        <f t="shared" si="0"/>
      </c>
      <c r="F26" s="59"/>
      <c r="G26" s="59"/>
      <c r="H26" s="108">
        <f t="shared" si="1"/>
      </c>
      <c r="I26" s="108">
        <f>IF(H26="","",H26/E6)</f>
      </c>
      <c r="J26" s="58"/>
      <c r="K26" s="58"/>
      <c r="L26" s="109">
        <f>IF(K26="","",K26/R9)</f>
      </c>
      <c r="M26" s="50">
        <f t="shared" si="2"/>
      </c>
      <c r="N26" s="50">
        <f t="shared" si="3"/>
      </c>
      <c r="O26" s="189">
        <f>IF(M26="","",SUM(O25-M26))</f>
      </c>
      <c r="P26" s="256"/>
      <c r="Q26" s="189">
        <f>IF(N26="","",SUM(Q25-N26))</f>
      </c>
      <c r="R26" s="256"/>
      <c r="S26" s="110"/>
      <c r="T26" s="110"/>
      <c r="U26" s="110"/>
      <c r="V26" s="111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</row>
    <row r="27" spans="1:88" ht="12.75" customHeight="1">
      <c r="A27" s="56"/>
      <c r="B27" s="63"/>
      <c r="C27" s="112"/>
      <c r="D27" s="112"/>
      <c r="E27" s="107">
        <f t="shared" si="0"/>
      </c>
      <c r="F27" s="59"/>
      <c r="G27" s="59"/>
      <c r="H27" s="108">
        <f t="shared" si="1"/>
      </c>
      <c r="I27" s="108">
        <f>IF(H27="","",H27/E6)</f>
      </c>
      <c r="J27" s="58"/>
      <c r="K27" s="58"/>
      <c r="L27" s="109">
        <f>IF(K27="","",K27/R9)</f>
      </c>
      <c r="M27" s="50">
        <f t="shared" si="2"/>
      </c>
      <c r="N27" s="50">
        <f t="shared" si="3"/>
      </c>
      <c r="O27" s="189">
        <f>IF(M27="","",SUM(O26-M27))</f>
      </c>
      <c r="P27" s="256"/>
      <c r="Q27" s="189">
        <f aca="true" t="shared" si="4" ref="Q27:Q36">IF(N27="","",SUM(Q26-N27))</f>
      </c>
      <c r="R27" s="256"/>
      <c r="S27" s="110"/>
      <c r="T27" s="110"/>
      <c r="U27" s="110"/>
      <c r="V27" s="111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</row>
    <row r="28" spans="1:88" ht="12.75" customHeight="1">
      <c r="A28" s="56"/>
      <c r="B28" s="63"/>
      <c r="C28" s="112"/>
      <c r="D28" s="112"/>
      <c r="E28" s="107">
        <f t="shared" si="0"/>
      </c>
      <c r="F28" s="59"/>
      <c r="G28" s="59"/>
      <c r="H28" s="108">
        <f t="shared" si="1"/>
      </c>
      <c r="I28" s="108">
        <f>IF(H28="","",H28/E6)</f>
      </c>
      <c r="J28" s="58"/>
      <c r="K28" s="58"/>
      <c r="L28" s="109">
        <f>IF(K28="","",K28/R9)</f>
      </c>
      <c r="M28" s="50">
        <f t="shared" si="2"/>
      </c>
      <c r="N28" s="50">
        <f t="shared" si="3"/>
      </c>
      <c r="O28" s="189">
        <f aca="true" t="shared" si="5" ref="O28:O36">IF(M28="","",SUM(O27-M28))</f>
      </c>
      <c r="P28" s="256"/>
      <c r="Q28" s="189">
        <f t="shared" si="4"/>
      </c>
      <c r="R28" s="256"/>
      <c r="S28" s="110"/>
      <c r="T28" s="110"/>
      <c r="U28" s="110"/>
      <c r="V28" s="111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</row>
    <row r="29" spans="1:88" ht="12.75" customHeight="1">
      <c r="A29" s="56"/>
      <c r="B29" s="63"/>
      <c r="C29" s="112"/>
      <c r="D29" s="112"/>
      <c r="E29" s="107">
        <f t="shared" si="0"/>
      </c>
      <c r="F29" s="59"/>
      <c r="G29" s="59"/>
      <c r="H29" s="108">
        <f t="shared" si="1"/>
      </c>
      <c r="I29" s="108">
        <f>IF(H29="","",H29/E6)</f>
      </c>
      <c r="J29" s="58"/>
      <c r="K29" s="58"/>
      <c r="L29" s="109">
        <f>IF(K29="","",K29/R9)</f>
      </c>
      <c r="M29" s="50">
        <f t="shared" si="2"/>
      </c>
      <c r="N29" s="50">
        <f t="shared" si="3"/>
      </c>
      <c r="O29" s="189">
        <f t="shared" si="5"/>
      </c>
      <c r="P29" s="256"/>
      <c r="Q29" s="189">
        <f t="shared" si="4"/>
      </c>
      <c r="R29" s="256"/>
      <c r="S29" s="110"/>
      <c r="T29" s="110"/>
      <c r="U29" s="110"/>
      <c r="V29" s="111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</row>
    <row r="30" spans="1:88" ht="12.75" customHeight="1">
      <c r="A30" s="56"/>
      <c r="B30" s="63"/>
      <c r="C30" s="112"/>
      <c r="D30" s="112"/>
      <c r="E30" s="107">
        <f t="shared" si="0"/>
      </c>
      <c r="F30" s="59"/>
      <c r="G30" s="59"/>
      <c r="H30" s="108">
        <f t="shared" si="1"/>
      </c>
      <c r="I30" s="108">
        <f>IF(H30="","",H30/E6)</f>
      </c>
      <c r="J30" s="58"/>
      <c r="K30" s="58"/>
      <c r="L30" s="109">
        <f>IF(K30="","",K30/R9)</f>
      </c>
      <c r="M30" s="50">
        <f t="shared" si="2"/>
      </c>
      <c r="N30" s="50">
        <f t="shared" si="3"/>
      </c>
      <c r="O30" s="189">
        <f t="shared" si="5"/>
      </c>
      <c r="P30" s="256"/>
      <c r="Q30" s="189">
        <f t="shared" si="4"/>
      </c>
      <c r="R30" s="256"/>
      <c r="S30" s="110"/>
      <c r="T30" s="110"/>
      <c r="U30" s="110"/>
      <c r="V30" s="111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</row>
    <row r="31" spans="1:88" ht="12.75" customHeight="1">
      <c r="A31" s="56"/>
      <c r="B31" s="63"/>
      <c r="C31" s="112"/>
      <c r="D31" s="112"/>
      <c r="E31" s="107">
        <f t="shared" si="0"/>
      </c>
      <c r="F31" s="59"/>
      <c r="G31" s="59"/>
      <c r="H31" s="108">
        <f t="shared" si="1"/>
      </c>
      <c r="I31" s="108">
        <f>IF(H31="","",H31/E6)</f>
      </c>
      <c r="J31" s="58"/>
      <c r="K31" s="58"/>
      <c r="L31" s="109">
        <f>IF(K31="","",K31/R9)</f>
      </c>
      <c r="M31" s="50">
        <f t="shared" si="2"/>
      </c>
      <c r="N31" s="50">
        <f t="shared" si="3"/>
      </c>
      <c r="O31" s="189">
        <f t="shared" si="5"/>
      </c>
      <c r="P31" s="256"/>
      <c r="Q31" s="189">
        <f t="shared" si="4"/>
      </c>
      <c r="R31" s="256"/>
      <c r="S31" s="110"/>
      <c r="T31" s="110"/>
      <c r="U31" s="110"/>
      <c r="V31" s="11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</row>
    <row r="32" spans="1:88" ht="12.75" customHeight="1">
      <c r="A32" s="56"/>
      <c r="B32" s="63"/>
      <c r="C32" s="112"/>
      <c r="D32" s="112"/>
      <c r="E32" s="107">
        <f t="shared" si="0"/>
      </c>
      <c r="F32" s="59"/>
      <c r="G32" s="59"/>
      <c r="H32" s="108">
        <f t="shared" si="1"/>
      </c>
      <c r="I32" s="108">
        <f>IF(H32="","",H32/E6)</f>
      </c>
      <c r="J32" s="58"/>
      <c r="K32" s="58"/>
      <c r="L32" s="109">
        <f>IF(K32="","",K32/R9)</f>
      </c>
      <c r="M32" s="50">
        <f t="shared" si="2"/>
      </c>
      <c r="N32" s="50">
        <f t="shared" si="3"/>
      </c>
      <c r="O32" s="189">
        <f t="shared" si="5"/>
      </c>
      <c r="P32" s="256"/>
      <c r="Q32" s="189">
        <f t="shared" si="4"/>
      </c>
      <c r="R32" s="256"/>
      <c r="S32" s="110"/>
      <c r="T32" s="110"/>
      <c r="U32" s="110"/>
      <c r="V32" s="111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</row>
    <row r="33" spans="1:88" ht="12.75" customHeight="1">
      <c r="A33" s="56"/>
      <c r="B33" s="63"/>
      <c r="C33" s="112"/>
      <c r="D33" s="112"/>
      <c r="E33" s="107">
        <f t="shared" si="0"/>
      </c>
      <c r="F33" s="59"/>
      <c r="G33" s="59"/>
      <c r="H33" s="108">
        <f t="shared" si="1"/>
      </c>
      <c r="I33" s="108">
        <f>IF(H33="","",H33/E6)</f>
      </c>
      <c r="J33" s="58"/>
      <c r="K33" s="58"/>
      <c r="L33" s="109">
        <f>IF(K33="","",K33/R9)</f>
      </c>
      <c r="M33" s="50">
        <f t="shared" si="2"/>
      </c>
      <c r="N33" s="50">
        <f t="shared" si="3"/>
      </c>
      <c r="O33" s="189">
        <f t="shared" si="5"/>
      </c>
      <c r="P33" s="256"/>
      <c r="Q33" s="189">
        <f t="shared" si="4"/>
      </c>
      <c r="R33" s="256"/>
      <c r="S33" s="110"/>
      <c r="T33" s="110"/>
      <c r="U33" s="110"/>
      <c r="V33" s="111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</row>
    <row r="34" spans="1:88" ht="12.75" customHeight="1">
      <c r="A34" s="56"/>
      <c r="B34" s="63"/>
      <c r="C34" s="112"/>
      <c r="D34" s="112"/>
      <c r="E34" s="107">
        <f t="shared" si="0"/>
      </c>
      <c r="F34" s="59"/>
      <c r="G34" s="59"/>
      <c r="H34" s="108">
        <f t="shared" si="1"/>
      </c>
      <c r="I34" s="108">
        <f>IF(H34="","",H34/E6)</f>
      </c>
      <c r="J34" s="58"/>
      <c r="K34" s="58"/>
      <c r="L34" s="109">
        <f>IF(K34="","",K34/R9)</f>
      </c>
      <c r="M34" s="50">
        <f t="shared" si="2"/>
      </c>
      <c r="N34" s="50">
        <f t="shared" si="3"/>
      </c>
      <c r="O34" s="189">
        <f t="shared" si="5"/>
      </c>
      <c r="P34" s="256"/>
      <c r="Q34" s="189">
        <f t="shared" si="4"/>
      </c>
      <c r="R34" s="256"/>
      <c r="S34" s="110"/>
      <c r="T34" s="110"/>
      <c r="U34" s="110"/>
      <c r="V34" s="111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</row>
    <row r="35" spans="1:88" ht="12.75" customHeight="1">
      <c r="A35" s="56"/>
      <c r="B35" s="63"/>
      <c r="C35" s="112"/>
      <c r="D35" s="112"/>
      <c r="E35" s="107">
        <f t="shared" si="0"/>
      </c>
      <c r="F35" s="59"/>
      <c r="G35" s="59"/>
      <c r="H35" s="108">
        <f t="shared" si="1"/>
      </c>
      <c r="I35" s="108">
        <f>IF(H35="","",H35/E6)</f>
      </c>
      <c r="J35" s="58"/>
      <c r="K35" s="58"/>
      <c r="L35" s="109">
        <f>IF(K35="","",K35/R9)</f>
      </c>
      <c r="M35" s="50">
        <f t="shared" si="2"/>
      </c>
      <c r="N35" s="50">
        <f t="shared" si="3"/>
      </c>
      <c r="O35" s="189">
        <f t="shared" si="5"/>
      </c>
      <c r="P35" s="256"/>
      <c r="Q35" s="189">
        <f t="shared" si="4"/>
      </c>
      <c r="R35" s="256"/>
      <c r="S35" s="110"/>
      <c r="T35" s="110"/>
      <c r="U35" s="110"/>
      <c r="V35" s="111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</row>
    <row r="36" spans="1:88" ht="12.75" customHeight="1">
      <c r="A36" s="56"/>
      <c r="B36" s="63"/>
      <c r="C36" s="112"/>
      <c r="D36" s="112"/>
      <c r="E36" s="107">
        <f t="shared" si="0"/>
      </c>
      <c r="F36" s="59"/>
      <c r="G36" s="59"/>
      <c r="H36" s="108">
        <f t="shared" si="1"/>
      </c>
      <c r="I36" s="108">
        <f>IF(H36="","",H36/E6)</f>
      </c>
      <c r="J36" s="58"/>
      <c r="K36" s="58"/>
      <c r="L36" s="109">
        <f>IF(K36="","",K36/R9)</f>
      </c>
      <c r="M36" s="50">
        <f t="shared" si="2"/>
      </c>
      <c r="N36" s="50">
        <f t="shared" si="3"/>
      </c>
      <c r="O36" s="189">
        <f t="shared" si="5"/>
      </c>
      <c r="P36" s="256"/>
      <c r="Q36" s="189">
        <f t="shared" si="4"/>
      </c>
      <c r="R36" s="256"/>
      <c r="S36" s="110"/>
      <c r="T36" s="110"/>
      <c r="U36" s="110"/>
      <c r="V36" s="111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</row>
    <row r="37" spans="1:88" ht="13.5" customHeight="1">
      <c r="A37" s="10"/>
      <c r="B37" s="10"/>
      <c r="C37" s="10"/>
      <c r="D37" s="10"/>
      <c r="E37" s="10"/>
      <c r="F37" s="10"/>
      <c r="G37" s="7" t="s">
        <v>34</v>
      </c>
      <c r="H37" s="9">
        <f>SUM(H23:H36)</f>
        <v>0</v>
      </c>
      <c r="I37" s="10"/>
      <c r="J37" s="295" t="s">
        <v>110</v>
      </c>
      <c r="K37" s="296"/>
      <c r="L37" s="296"/>
      <c r="M37" s="145">
        <f>SUM(M23:M36)+P47</f>
        <v>0</v>
      </c>
      <c r="N37" s="146">
        <f>SUM(N23:N36)+S47</f>
        <v>0</v>
      </c>
      <c r="O37" s="297" t="s">
        <v>166</v>
      </c>
      <c r="P37" s="228"/>
      <c r="Q37" s="228"/>
      <c r="R37" s="228"/>
      <c r="S37" s="229"/>
      <c r="T37" s="5"/>
      <c r="U37" s="5"/>
      <c r="V37" s="5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</row>
    <row r="38" spans="1:88" ht="0.75" customHeight="1">
      <c r="A38" s="5"/>
      <c r="B38" s="10"/>
      <c r="C38" s="10"/>
      <c r="D38" s="10"/>
      <c r="E38" s="10"/>
      <c r="F38" s="10"/>
      <c r="G38" s="10"/>
      <c r="H38" s="10"/>
      <c r="I38" s="10"/>
      <c r="J38" s="10"/>
      <c r="K38" s="114"/>
      <c r="L38" s="115"/>
      <c r="M38" s="85"/>
      <c r="N38" s="85"/>
      <c r="O38" s="116"/>
      <c r="P38" s="117"/>
      <c r="Q38" s="117"/>
      <c r="R38" s="117"/>
      <c r="S38" s="5"/>
      <c r="T38" s="5"/>
      <c r="U38" s="5"/>
      <c r="V38" s="5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</row>
    <row r="39" spans="1:88" ht="18.75" customHeight="1">
      <c r="A39" s="20"/>
      <c r="B39" s="20"/>
      <c r="C39" s="12"/>
      <c r="D39" s="21" t="s">
        <v>35</v>
      </c>
      <c r="E39" s="181"/>
      <c r="F39" s="181"/>
      <c r="G39" s="181"/>
      <c r="H39" s="181"/>
      <c r="I39" s="20"/>
      <c r="J39" s="21" t="s">
        <v>36</v>
      </c>
      <c r="K39" s="222"/>
      <c r="L39" s="223"/>
      <c r="M39" s="223"/>
      <c r="N39" s="223"/>
      <c r="O39" s="223"/>
      <c r="P39" s="223"/>
      <c r="Q39" s="223"/>
      <c r="R39" s="223"/>
      <c r="S39" s="34"/>
      <c r="T39" s="34"/>
      <c r="U39" s="34"/>
      <c r="V39" s="34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</row>
    <row r="40" spans="1:88" ht="4.5" customHeight="1">
      <c r="A40" s="20"/>
      <c r="B40" s="20"/>
      <c r="C40" s="20"/>
      <c r="D40" s="20"/>
      <c r="E40" s="20"/>
      <c r="F40" s="20"/>
      <c r="G40" s="20"/>
      <c r="H40" s="20"/>
      <c r="I40" s="20"/>
      <c r="J40" s="21"/>
      <c r="K40" s="21"/>
      <c r="L40" s="21"/>
      <c r="M40" s="20"/>
      <c r="N40" s="20"/>
      <c r="O40" s="20"/>
      <c r="P40" s="20"/>
      <c r="Q40" s="20"/>
      <c r="R40" s="20"/>
      <c r="S40" s="12"/>
      <c r="T40" s="12"/>
      <c r="U40" s="12"/>
      <c r="V40" s="12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</row>
    <row r="41" spans="1:88" ht="10.5" customHeight="1">
      <c r="A41" s="20"/>
      <c r="B41" s="20"/>
      <c r="C41" s="12"/>
      <c r="D41" s="21" t="s">
        <v>37</v>
      </c>
      <c r="E41" s="181"/>
      <c r="F41" s="181"/>
      <c r="G41" s="181"/>
      <c r="H41" s="181"/>
      <c r="I41" s="20"/>
      <c r="J41" s="21" t="s">
        <v>38</v>
      </c>
      <c r="K41" s="222"/>
      <c r="L41" s="223"/>
      <c r="M41" s="223"/>
      <c r="N41" s="271"/>
      <c r="O41" s="271"/>
      <c r="P41" s="271"/>
      <c r="Q41" s="271"/>
      <c r="R41" s="271"/>
      <c r="S41" s="36"/>
      <c r="T41" s="36"/>
      <c r="U41" s="36"/>
      <c r="V41" s="36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</row>
    <row r="42" spans="1:88" ht="12.75">
      <c r="A42" s="12" t="s">
        <v>154</v>
      </c>
      <c r="B42" s="12"/>
      <c r="C42" s="12"/>
      <c r="D42" s="12"/>
      <c r="E42" s="12"/>
      <c r="F42" s="12"/>
      <c r="G42" s="12"/>
      <c r="H42" s="12"/>
      <c r="I42" s="20"/>
      <c r="J42" s="20"/>
      <c r="K42" s="20"/>
      <c r="L42" s="36"/>
      <c r="M42" s="142"/>
      <c r="N42" s="178" t="s">
        <v>207</v>
      </c>
      <c r="O42" s="178"/>
      <c r="P42" s="178"/>
      <c r="Q42" s="178"/>
      <c r="R42" s="178"/>
      <c r="S42" s="178"/>
      <c r="T42" s="178"/>
      <c r="U42" s="178"/>
      <c r="V42" s="178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</row>
    <row r="43" spans="1:88" ht="12.75">
      <c r="A43" s="12" t="s">
        <v>153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36"/>
      <c r="M43" s="31"/>
      <c r="N43" s="302" t="s">
        <v>23</v>
      </c>
      <c r="O43" s="302"/>
      <c r="P43" s="178" t="s">
        <v>199</v>
      </c>
      <c r="Q43" s="178"/>
      <c r="R43" s="178"/>
      <c r="S43" s="178" t="s">
        <v>200</v>
      </c>
      <c r="T43" s="178"/>
      <c r="U43" s="178"/>
      <c r="V43" s="178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</row>
    <row r="44" spans="1:88" ht="12.75">
      <c r="A44" s="12" t="s">
        <v>158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75"/>
      <c r="M44" s="144"/>
      <c r="N44" s="303"/>
      <c r="O44" s="303"/>
      <c r="P44" s="305"/>
      <c r="Q44" s="305"/>
      <c r="R44" s="305"/>
      <c r="S44" s="285"/>
      <c r="T44" s="285"/>
      <c r="U44" s="285"/>
      <c r="V44" s="285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</row>
    <row r="45" spans="1:88" ht="12.75">
      <c r="A45" s="12" t="s">
        <v>161</v>
      </c>
      <c r="B45" s="12"/>
      <c r="C45" s="12"/>
      <c r="D45" s="12"/>
      <c r="E45" s="12"/>
      <c r="F45" s="12"/>
      <c r="G45" s="12"/>
      <c r="H45" s="12"/>
      <c r="I45" s="23"/>
      <c r="J45" s="23"/>
      <c r="K45" s="23"/>
      <c r="L45" s="75"/>
      <c r="M45" s="144"/>
      <c r="N45" s="303"/>
      <c r="O45" s="303"/>
      <c r="P45" s="305"/>
      <c r="Q45" s="305"/>
      <c r="R45" s="305"/>
      <c r="S45" s="285"/>
      <c r="T45" s="285"/>
      <c r="U45" s="285"/>
      <c r="V45" s="28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</row>
    <row r="46" spans="1:88" ht="12.75">
      <c r="A46" s="287" t="s">
        <v>162</v>
      </c>
      <c r="B46" s="287"/>
      <c r="C46" s="287"/>
      <c r="D46" s="287"/>
      <c r="E46" s="287"/>
      <c r="F46" s="287"/>
      <c r="G46" s="287"/>
      <c r="H46" s="287"/>
      <c r="I46" s="288"/>
      <c r="J46" s="23"/>
      <c r="K46" s="23"/>
      <c r="L46" s="75"/>
      <c r="M46" s="144"/>
      <c r="N46" s="303"/>
      <c r="O46" s="303"/>
      <c r="P46" s="305"/>
      <c r="Q46" s="305"/>
      <c r="R46" s="305"/>
      <c r="S46" s="285"/>
      <c r="T46" s="285"/>
      <c r="U46" s="285"/>
      <c r="V46" s="285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</row>
    <row r="47" spans="1:88" ht="12.75">
      <c r="A47" s="22" t="s">
        <v>164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143"/>
      <c r="M47" s="140"/>
      <c r="N47" s="304" t="s">
        <v>25</v>
      </c>
      <c r="O47" s="304"/>
      <c r="P47" s="304">
        <f>SUM(P44:P46)</f>
        <v>0</v>
      </c>
      <c r="Q47" s="304"/>
      <c r="R47" s="304"/>
      <c r="S47" s="286">
        <f>SUM(S44:S46)</f>
        <v>0</v>
      </c>
      <c r="T47" s="286"/>
      <c r="U47" s="286"/>
      <c r="V47" s="286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</row>
    <row r="48" spans="1:88" ht="12.75" customHeight="1">
      <c r="A48" s="42" t="s">
        <v>208</v>
      </c>
      <c r="B48" s="42"/>
      <c r="C48" s="42"/>
      <c r="D48" s="42"/>
      <c r="E48" s="42"/>
      <c r="F48" s="42"/>
      <c r="G48" s="42"/>
      <c r="H48" s="42"/>
      <c r="I48" s="76"/>
      <c r="J48" s="76"/>
      <c r="K48" s="76"/>
      <c r="L48" s="150"/>
      <c r="M48" s="150"/>
      <c r="N48" s="244" t="s">
        <v>212</v>
      </c>
      <c r="O48" s="244"/>
      <c r="P48" s="244"/>
      <c r="Q48" s="244"/>
      <c r="R48" s="244"/>
      <c r="S48" s="244"/>
      <c r="T48" s="244"/>
      <c r="U48" s="244"/>
      <c r="V48" s="244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</row>
    <row r="49" spans="2:88" ht="12.7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</row>
    <row r="50" spans="1:88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</row>
    <row r="51" spans="1:88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</row>
    <row r="52" spans="1:88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</row>
    <row r="53" spans="1:88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</row>
    <row r="54" spans="1:88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</row>
    <row r="55" spans="1:88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</row>
    <row r="56" spans="1:88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</row>
    <row r="57" spans="1:88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</row>
    <row r="58" spans="1:88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</row>
    <row r="59" spans="1:88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</row>
    <row r="60" spans="1:22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2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2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2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2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1:22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1:22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1:22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1:22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1:22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1:22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1:22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1:22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1:22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1:22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 ht="12.75" hidden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2" ht="12.75" hidden="1">
      <c r="A100">
        <f aca="true" t="shared" si="6" ref="A100:A113">IF(E23&lt;0,1440,0)</f>
        <v>0</v>
      </c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 ht="12.75" hidden="1">
      <c r="A101">
        <f t="shared" si="6"/>
        <v>0</v>
      </c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2" ht="12.75" hidden="1">
      <c r="A102">
        <f t="shared" si="6"/>
        <v>0</v>
      </c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2" ht="12.75" hidden="1">
      <c r="A103">
        <f t="shared" si="6"/>
        <v>0</v>
      </c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22" ht="12.75" hidden="1">
      <c r="A104">
        <f t="shared" si="6"/>
        <v>0</v>
      </c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1:22" ht="12.75" hidden="1">
      <c r="A105">
        <f t="shared" si="6"/>
        <v>0</v>
      </c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1:22" ht="12.75" hidden="1">
      <c r="A106">
        <f t="shared" si="6"/>
        <v>0</v>
      </c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1:22" ht="12.75" hidden="1">
      <c r="A107">
        <f t="shared" si="6"/>
        <v>0</v>
      </c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1:22" ht="12.75" hidden="1">
      <c r="A108">
        <f t="shared" si="6"/>
        <v>0</v>
      </c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1:22" ht="12.75" hidden="1">
      <c r="A109">
        <f t="shared" si="6"/>
        <v>0</v>
      </c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1:22" ht="12.75" hidden="1">
      <c r="A110">
        <f t="shared" si="6"/>
        <v>0</v>
      </c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1:22" ht="12.75" hidden="1">
      <c r="A111">
        <f t="shared" si="6"/>
        <v>0</v>
      </c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1:22" ht="12.75" hidden="1">
      <c r="A112">
        <f t="shared" si="6"/>
        <v>0</v>
      </c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1:22" ht="12.75" hidden="1">
      <c r="A113">
        <f t="shared" si="6"/>
        <v>0</v>
      </c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1:22" ht="12.75" hidden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1:22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1:22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1:22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1:22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1:22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1:22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1:22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1:22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1:22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1:22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1:22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1:22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1:22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1:22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1:22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1:22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1:22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1:22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1:22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spans="1:22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spans="1:22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1:22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1:22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1:22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1:22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spans="1:22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spans="1:22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spans="1:22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1:22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1:22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1:22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</sheetData>
  <sheetProtection password="C903" sheet="1" objects="1" scenarios="1"/>
  <mergeCells count="86">
    <mergeCell ref="N48:V48"/>
    <mergeCell ref="N42:V42"/>
    <mergeCell ref="N46:O46"/>
    <mergeCell ref="N47:O47"/>
    <mergeCell ref="P43:R43"/>
    <mergeCell ref="P44:R44"/>
    <mergeCell ref="P45:R45"/>
    <mergeCell ref="P46:R46"/>
    <mergeCell ref="P47:R47"/>
    <mergeCell ref="S43:V43"/>
    <mergeCell ref="S44:V44"/>
    <mergeCell ref="N43:O43"/>
    <mergeCell ref="N44:O44"/>
    <mergeCell ref="N45:O45"/>
    <mergeCell ref="S45:V45"/>
    <mergeCell ref="S46:V46"/>
    <mergeCell ref="S47:V47"/>
    <mergeCell ref="A46:I46"/>
    <mergeCell ref="K12:M13"/>
    <mergeCell ref="J37:L37"/>
    <mergeCell ref="O37:S37"/>
    <mergeCell ref="N19:N22"/>
    <mergeCell ref="S15:U16"/>
    <mergeCell ref="S17:S22"/>
    <mergeCell ref="T17:T22"/>
    <mergeCell ref="Q32:R32"/>
    <mergeCell ref="E6:G6"/>
    <mergeCell ref="E7:G7"/>
    <mergeCell ref="E8:G9"/>
    <mergeCell ref="E10:G10"/>
    <mergeCell ref="O28:P28"/>
    <mergeCell ref="O29:P29"/>
    <mergeCell ref="R11:V11"/>
    <mergeCell ref="Q29:R29"/>
    <mergeCell ref="Q27:R27"/>
    <mergeCell ref="Q28:R28"/>
    <mergeCell ref="V15:V22"/>
    <mergeCell ref="Q25:R25"/>
    <mergeCell ref="Q26:R26"/>
    <mergeCell ref="U17:U22"/>
    <mergeCell ref="E12:G13"/>
    <mergeCell ref="L19:L21"/>
    <mergeCell ref="M19:M21"/>
    <mergeCell ref="O25:P25"/>
    <mergeCell ref="I15:I20"/>
    <mergeCell ref="J15:J20"/>
    <mergeCell ref="O24:P24"/>
    <mergeCell ref="G15:G20"/>
    <mergeCell ref="H15:H20"/>
    <mergeCell ref="E39:H39"/>
    <mergeCell ref="E41:H41"/>
    <mergeCell ref="K41:R41"/>
    <mergeCell ref="K39:R39"/>
    <mergeCell ref="A15:A22"/>
    <mergeCell ref="O15:P21"/>
    <mergeCell ref="Q15:R21"/>
    <mergeCell ref="O23:P23"/>
    <mergeCell ref="Q23:R23"/>
    <mergeCell ref="F15:F20"/>
    <mergeCell ref="E15:E20"/>
    <mergeCell ref="K15:K20"/>
    <mergeCell ref="O33:P33"/>
    <mergeCell ref="O32:P32"/>
    <mergeCell ref="Q24:R24"/>
    <mergeCell ref="O26:P26"/>
    <mergeCell ref="O30:P30"/>
    <mergeCell ref="O31:P31"/>
    <mergeCell ref="Q33:R33"/>
    <mergeCell ref="Q30:R30"/>
    <mergeCell ref="Q31:R31"/>
    <mergeCell ref="O27:P27"/>
    <mergeCell ref="Q35:R35"/>
    <mergeCell ref="Q36:R36"/>
    <mergeCell ref="O34:P34"/>
    <mergeCell ref="O35:P35"/>
    <mergeCell ref="O36:P36"/>
    <mergeCell ref="Q34:R34"/>
    <mergeCell ref="L5:M5"/>
    <mergeCell ref="N12:Q13"/>
    <mergeCell ref="R12:V13"/>
    <mergeCell ref="R5:S5"/>
    <mergeCell ref="K7:M7"/>
    <mergeCell ref="K8:M9"/>
    <mergeCell ref="K10:M10"/>
    <mergeCell ref="R9:S9"/>
    <mergeCell ref="N9:Q9"/>
  </mergeCells>
  <dataValidations count="9">
    <dataValidation type="date" showInputMessage="1" showErrorMessage="1" prompt="Enter date in following format:&#10;mm/dd/yr&#10;Example: 04/13/06" error="Enter date in following format:&#10;mm/dd/yr&#10;Example: 04/13/06" sqref="B20:B22">
      <formula1>36412</formula1>
      <formula2>65998</formula2>
    </dataValidation>
    <dataValidation type="time" showInputMessage="1" showErrorMessage="1" prompt="When entering time use the following format:&#10;Hour:Minute (space) am or pm&#10;hh:mm am/pm&#10;Example:  2:00 pm" error="When entering time use the following format:&#10;Hour:Minute (space) am or pm&#10;hh:mm am/pm&#10;Example: 2:00 pm" sqref="C20:D36">
      <formula1>0</formula1>
      <formula2>0.9993055555555556</formula2>
    </dataValidation>
    <dataValidation type="custom" allowBlank="1" showInputMessage="1" showErrorMessage="1" error="If a single irrigation event occurs over two different days click the &quot;Cancel&quot; button below and then press the &quot;Ctrl and a&quot; keys simultaneously to calculate the total minutes irrigated." sqref="F21:F22">
      <formula1>E21&gt;0</formula1>
    </dataValidation>
    <dataValidation type="textLength" operator="greaterThan" allowBlank="1" showInputMessage="1" showErrorMessage="1" prompt="Enter initials indicating that irrigation inspections have been completed." error="Enter initials to indicate that irrigation inspections were completed." sqref="V23:V36">
      <formula1>1</formula1>
    </dataValidation>
    <dataValidation type="list" showInputMessage="1" showErrorMessage="1" sqref="T7:U7">
      <formula1>"Swine, Dairy, Poultry"</formula1>
    </dataValidation>
    <dataValidation allowBlank="1" showInputMessage="1" showErrorMessage="1" error="If a single irrigation event occurs over two different days click the &quot;Cancel&quot; button below and then press the &quot;Ctrl and a&quot; keys simultaneously to calculate the total minutes irrigated." sqref="F23:F36"/>
    <dataValidation type="list" showInputMessage="1" showErrorMessage="1" prompt="Select weather code from the drop list.&#10;c    Clear&#10;pc  Partly Cloudy&#10;cl   Cloudy&#10;r    Rain&#10;s    Snow/Sleet&#10;w   Windy&#10;" error="Enter weather code as shown below.&#10;c&#10;pc&#10;cl&#10;r&#10;s&#10;w" sqref="S23:U36">
      <formula1>"c,pc,cl,r,s,w"</formula1>
    </dataValidation>
    <dataValidation showInputMessage="1" showErrorMessage="1" sqref="R7:S7"/>
    <dataValidation type="date" showInputMessage="1" showErrorMessage="1" prompt="Enter date in following format:&#10;mm/dd/yr&#10;Example: 4/13/06" error="Enter date in following format:&#10;mm/dd/yr&#10;Example: 04/13/06" sqref="B23:B36">
      <formula1>38717</formula1>
      <formula2>109210</formula2>
    </dataValidation>
  </dataValidations>
  <printOptions/>
  <pageMargins left="0.1" right="0.1" top="0" bottom="0" header="0" footer="0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Z142"/>
  <sheetViews>
    <sheetView showGridLines="0" workbookViewId="0" topLeftCell="A1">
      <selection activeCell="Z57" sqref="Z57"/>
    </sheetView>
  </sheetViews>
  <sheetFormatPr defaultColWidth="9.140625" defaultRowHeight="12.75"/>
  <cols>
    <col min="1" max="1" width="0.9921875" style="1" customWidth="1"/>
    <col min="2" max="2" width="5.57421875" style="1" customWidth="1"/>
    <col min="3" max="3" width="8.421875" style="1" customWidth="1"/>
    <col min="4" max="4" width="6.7109375" style="1" customWidth="1"/>
    <col min="5" max="5" width="8.28125" style="1" customWidth="1"/>
    <col min="6" max="6" width="7.57421875" style="1" customWidth="1"/>
    <col min="7" max="7" width="9.57421875" style="1" customWidth="1"/>
    <col min="8" max="8" width="7.8515625" style="1" customWidth="1"/>
    <col min="9" max="9" width="7.28125" style="1" customWidth="1"/>
    <col min="10" max="10" width="8.57421875" style="1" customWidth="1"/>
    <col min="11" max="11" width="8.28125" style="1" customWidth="1"/>
    <col min="12" max="12" width="5.421875" style="1" customWidth="1"/>
    <col min="13" max="13" width="7.140625" style="1" customWidth="1"/>
    <col min="14" max="15" width="6.8515625" style="1" customWidth="1"/>
    <col min="16" max="16" width="3.28125" style="1" customWidth="1"/>
    <col min="17" max="17" width="6.421875" style="1" customWidth="1"/>
    <col min="18" max="18" width="3.140625" style="1" customWidth="1"/>
    <col min="19" max="19" width="7.140625" style="1" customWidth="1"/>
    <col min="20" max="21" width="3.28125" style="1" customWidth="1"/>
    <col min="22" max="22" width="3.421875" style="1" customWidth="1"/>
    <col min="23" max="23" width="6.421875" style="1" customWidth="1"/>
    <col min="24" max="24" width="7.28125" style="1" customWidth="1"/>
    <col min="25" max="25" width="8.421875" style="1" customWidth="1"/>
    <col min="26" max="16384" width="9.140625" style="1" customWidth="1"/>
  </cols>
  <sheetData>
    <row r="1" spans="1:52" ht="12.75">
      <c r="A1" s="12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</row>
    <row r="2" spans="1:52" ht="13.5">
      <c r="A2" s="12"/>
      <c r="B2" s="3" t="s">
        <v>205</v>
      </c>
      <c r="C2" s="3"/>
      <c r="D2" s="3"/>
      <c r="E2" s="3"/>
      <c r="F2" s="12"/>
      <c r="G2" s="12"/>
      <c r="H2" s="5" t="s">
        <v>180</v>
      </c>
      <c r="I2" s="12"/>
      <c r="J2" s="1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</row>
    <row r="3" spans="1:52" ht="12.75">
      <c r="A3" s="12"/>
      <c r="B3" s="5"/>
      <c r="C3" s="5"/>
      <c r="D3" s="4"/>
      <c r="E3" s="4"/>
      <c r="F3" s="5"/>
      <c r="G3" s="12"/>
      <c r="H3" s="5" t="s">
        <v>181</v>
      </c>
      <c r="I3" s="12"/>
      <c r="J3" s="12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</row>
    <row r="4" spans="1:52" ht="12.75">
      <c r="A4" s="1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</row>
    <row r="5" spans="1:52" ht="12.75">
      <c r="A5" s="12"/>
      <c r="B5" s="5"/>
      <c r="C5" s="5"/>
      <c r="D5" s="7" t="s">
        <v>90</v>
      </c>
      <c r="E5" s="6"/>
      <c r="F5" s="18" t="s">
        <v>1</v>
      </c>
      <c r="G5" s="6"/>
      <c r="H5" s="28"/>
      <c r="I5" s="28"/>
      <c r="J5" s="28"/>
      <c r="K5" s="163" t="s">
        <v>2</v>
      </c>
      <c r="L5" s="164"/>
      <c r="M5" s="165"/>
      <c r="N5" s="165"/>
      <c r="O5" s="13"/>
      <c r="P5" s="12"/>
      <c r="Q5" s="12"/>
      <c r="R5" s="12"/>
      <c r="S5" s="12"/>
      <c r="T5" s="325"/>
      <c r="U5" s="325"/>
      <c r="V5" s="28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</row>
    <row r="6" spans="1:52" ht="12.75">
      <c r="A6" s="12"/>
      <c r="B6" s="12"/>
      <c r="C6" s="5"/>
      <c r="D6" s="7" t="s">
        <v>142</v>
      </c>
      <c r="E6" s="230"/>
      <c r="F6" s="231"/>
      <c r="G6" s="232"/>
      <c r="H6" s="28"/>
      <c r="I6" s="28"/>
      <c r="J6" s="28"/>
      <c r="K6" s="28"/>
      <c r="L6" s="28"/>
      <c r="M6" s="28"/>
      <c r="N6" s="28"/>
      <c r="O6" s="28"/>
      <c r="P6" s="28"/>
      <c r="Q6" s="236"/>
      <c r="R6" s="236"/>
      <c r="S6" s="236"/>
      <c r="T6" s="28"/>
      <c r="U6" s="28"/>
      <c r="V6" s="28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</row>
    <row r="7" spans="1:52" ht="12.75" customHeight="1">
      <c r="A7" s="12"/>
      <c r="B7" s="5"/>
      <c r="C7" s="7"/>
      <c r="D7" s="7" t="s">
        <v>3</v>
      </c>
      <c r="E7" s="160"/>
      <c r="F7" s="154"/>
      <c r="G7" s="211"/>
      <c r="H7" s="7"/>
      <c r="I7" s="7"/>
      <c r="J7" s="7" t="s">
        <v>50</v>
      </c>
      <c r="K7" s="160"/>
      <c r="L7" s="154"/>
      <c r="M7" s="200"/>
      <c r="N7" s="201"/>
      <c r="O7" s="13"/>
      <c r="P7" s="13" t="s">
        <v>86</v>
      </c>
      <c r="Q7" s="13"/>
      <c r="R7" s="13"/>
      <c r="S7" s="165"/>
      <c r="T7" s="165"/>
      <c r="U7" s="13"/>
      <c r="V7" s="28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</row>
    <row r="8" spans="1:52" ht="12.75">
      <c r="A8" s="12"/>
      <c r="B8" s="5"/>
      <c r="C8" s="7"/>
      <c r="D8" s="7" t="s">
        <v>5</v>
      </c>
      <c r="E8" s="202"/>
      <c r="F8" s="203"/>
      <c r="G8" s="212"/>
      <c r="H8" s="15"/>
      <c r="I8" s="15"/>
      <c r="J8" s="7" t="s">
        <v>51</v>
      </c>
      <c r="K8" s="202"/>
      <c r="L8" s="203"/>
      <c r="M8" s="204"/>
      <c r="N8" s="205"/>
      <c r="O8" s="123" t="s">
        <v>175</v>
      </c>
      <c r="P8" s="12"/>
      <c r="Q8" s="12"/>
      <c r="R8" s="12"/>
      <c r="S8" s="12"/>
      <c r="T8" s="12"/>
      <c r="U8" s="12"/>
      <c r="V8" s="28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</row>
    <row r="9" spans="1:52" ht="12.75">
      <c r="A9" s="12"/>
      <c r="B9" s="5"/>
      <c r="C9" s="5"/>
      <c r="D9" s="7"/>
      <c r="E9" s="213"/>
      <c r="F9" s="214"/>
      <c r="G9" s="215"/>
      <c r="H9" s="28"/>
      <c r="I9" s="28"/>
      <c r="J9" s="7" t="s">
        <v>46</v>
      </c>
      <c r="K9" s="206"/>
      <c r="L9" s="207"/>
      <c r="M9" s="207"/>
      <c r="N9" s="208"/>
      <c r="O9" s="14"/>
      <c r="P9" s="13" t="s">
        <v>89</v>
      </c>
      <c r="Q9" s="12"/>
      <c r="R9" s="14"/>
      <c r="S9" s="237"/>
      <c r="T9" s="237"/>
      <c r="U9" s="14"/>
      <c r="V9" s="28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</row>
    <row r="10" spans="1:52" ht="12.75" customHeight="1">
      <c r="A10" s="12"/>
      <c r="B10" s="5"/>
      <c r="C10" s="7"/>
      <c r="D10" s="7" t="s">
        <v>7</v>
      </c>
      <c r="E10" s="160"/>
      <c r="F10" s="154"/>
      <c r="G10" s="211"/>
      <c r="H10" s="28"/>
      <c r="I10" s="28"/>
      <c r="J10" s="7" t="s">
        <v>47</v>
      </c>
      <c r="K10" s="160"/>
      <c r="L10" s="154"/>
      <c r="M10" s="200"/>
      <c r="N10" s="201"/>
      <c r="O10" s="141" t="s">
        <v>193</v>
      </c>
      <c r="P10" s="12"/>
      <c r="Q10" s="13"/>
      <c r="R10" s="12"/>
      <c r="S10" s="12"/>
      <c r="T10" s="12"/>
      <c r="U10" s="12"/>
      <c r="V10" s="12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ht="12.75" customHeight="1">
      <c r="A11" s="12"/>
      <c r="B11" s="5"/>
      <c r="C11" s="5"/>
      <c r="D11" s="7"/>
      <c r="E11" s="4"/>
      <c r="F11" s="4"/>
      <c r="G11" s="12"/>
      <c r="H11" s="25" t="s">
        <v>67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19"/>
      <c r="T11" s="19"/>
      <c r="U11" s="19"/>
      <c r="V11" s="19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</row>
    <row r="12" spans="1:52" ht="16.5" customHeight="1">
      <c r="A12" s="12"/>
      <c r="B12" s="5"/>
      <c r="C12" s="5"/>
      <c r="D12" s="7" t="s">
        <v>8</v>
      </c>
      <c r="E12" s="216"/>
      <c r="F12" s="216"/>
      <c r="G12" s="216"/>
      <c r="H12" s="28"/>
      <c r="I12" s="28"/>
      <c r="J12" s="7" t="s">
        <v>9</v>
      </c>
      <c r="K12" s="308"/>
      <c r="L12" s="309"/>
      <c r="M12" s="309"/>
      <c r="N12" s="310"/>
      <c r="O12" s="306" t="s">
        <v>87</v>
      </c>
      <c r="P12" s="166"/>
      <c r="Q12" s="166"/>
      <c r="R12" s="307"/>
      <c r="S12" s="324"/>
      <c r="T12" s="324"/>
      <c r="U12" s="324"/>
      <c r="V12" s="210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</row>
    <row r="13" spans="1:52" ht="12.75" customHeight="1">
      <c r="A13" s="12"/>
      <c r="B13" s="5"/>
      <c r="C13" s="5"/>
      <c r="D13" s="5"/>
      <c r="E13" s="216"/>
      <c r="F13" s="216"/>
      <c r="G13" s="216"/>
      <c r="H13" s="28"/>
      <c r="I13" s="28"/>
      <c r="J13" s="7" t="s">
        <v>10</v>
      </c>
      <c r="K13" s="311"/>
      <c r="L13" s="312"/>
      <c r="M13" s="312"/>
      <c r="N13" s="313"/>
      <c r="O13" s="306"/>
      <c r="P13" s="166"/>
      <c r="Q13" s="166"/>
      <c r="R13" s="307"/>
      <c r="S13" s="324"/>
      <c r="T13" s="324"/>
      <c r="U13" s="324"/>
      <c r="V13" s="210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</row>
    <row r="14" spans="1:52" s="2" customFormat="1" ht="12.75">
      <c r="A14" s="20"/>
      <c r="B14" s="10"/>
      <c r="C14" s="17" t="s">
        <v>11</v>
      </c>
      <c r="D14" s="17" t="s">
        <v>12</v>
      </c>
      <c r="E14" s="17" t="s">
        <v>13</v>
      </c>
      <c r="F14" s="26" t="s">
        <v>14</v>
      </c>
      <c r="G14" s="26" t="s">
        <v>15</v>
      </c>
      <c r="H14" s="17" t="s">
        <v>16</v>
      </c>
      <c r="I14" s="17" t="s">
        <v>17</v>
      </c>
      <c r="J14" s="17" t="s">
        <v>18</v>
      </c>
      <c r="K14" s="17" t="s">
        <v>19</v>
      </c>
      <c r="L14" s="17" t="s">
        <v>20</v>
      </c>
      <c r="M14" s="17" t="s">
        <v>21</v>
      </c>
      <c r="N14" s="17" t="s">
        <v>40</v>
      </c>
      <c r="O14" s="17" t="s">
        <v>44</v>
      </c>
      <c r="P14" s="17"/>
      <c r="Q14" s="16" t="s">
        <v>45</v>
      </c>
      <c r="R14" s="11"/>
      <c r="S14" s="49" t="s">
        <v>93</v>
      </c>
      <c r="T14" s="11"/>
      <c r="U14" s="65" t="s">
        <v>31</v>
      </c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12.75" customHeight="1">
      <c r="A15" s="12"/>
      <c r="B15" s="78"/>
      <c r="C15" s="41"/>
      <c r="D15" s="41"/>
      <c r="E15" s="41"/>
      <c r="F15" s="41"/>
      <c r="G15" s="43"/>
      <c r="H15" s="41"/>
      <c r="I15" s="41"/>
      <c r="J15" s="41"/>
      <c r="K15" s="52"/>
      <c r="L15" s="233" t="s">
        <v>138</v>
      </c>
      <c r="M15" s="43" t="s">
        <v>68</v>
      </c>
      <c r="N15" s="52"/>
      <c r="O15" s="43" t="s">
        <v>25</v>
      </c>
      <c r="P15" s="191" t="s">
        <v>139</v>
      </c>
      <c r="Q15" s="192"/>
      <c r="R15" s="191" t="s">
        <v>176</v>
      </c>
      <c r="S15" s="192"/>
      <c r="T15" s="319" t="s">
        <v>140</v>
      </c>
      <c r="U15" s="320"/>
      <c r="V15" s="321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</row>
    <row r="16" spans="1:52" ht="13.5" customHeight="1">
      <c r="A16" s="12"/>
      <c r="B16" s="43"/>
      <c r="C16" s="43"/>
      <c r="D16" s="41"/>
      <c r="E16" s="42"/>
      <c r="F16" s="43" t="s">
        <v>25</v>
      </c>
      <c r="G16" s="43" t="s">
        <v>58</v>
      </c>
      <c r="H16" s="41"/>
      <c r="I16" s="42"/>
      <c r="J16" s="43" t="s">
        <v>41</v>
      </c>
      <c r="K16" s="43" t="s">
        <v>41</v>
      </c>
      <c r="L16" s="234"/>
      <c r="M16" s="43" t="s">
        <v>41</v>
      </c>
      <c r="N16" s="43" t="s">
        <v>30</v>
      </c>
      <c r="O16" s="53" t="s">
        <v>106</v>
      </c>
      <c r="P16" s="193"/>
      <c r="Q16" s="194"/>
      <c r="R16" s="193"/>
      <c r="S16" s="194"/>
      <c r="T16" s="320"/>
      <c r="U16" s="320"/>
      <c r="V16" s="321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</row>
    <row r="17" spans="1:52" ht="12.75">
      <c r="A17" s="12"/>
      <c r="B17" s="43" t="s">
        <v>95</v>
      </c>
      <c r="C17" s="43" t="s">
        <v>23</v>
      </c>
      <c r="D17" s="43" t="s">
        <v>53</v>
      </c>
      <c r="E17" s="43" t="s">
        <v>56</v>
      </c>
      <c r="F17" s="43" t="s">
        <v>22</v>
      </c>
      <c r="G17" s="43" t="s">
        <v>59</v>
      </c>
      <c r="H17" s="43" t="s">
        <v>62</v>
      </c>
      <c r="I17" s="43" t="s">
        <v>85</v>
      </c>
      <c r="J17" s="43" t="s">
        <v>42</v>
      </c>
      <c r="K17" s="43" t="s">
        <v>42</v>
      </c>
      <c r="L17" s="234"/>
      <c r="M17" s="217" t="s">
        <v>132</v>
      </c>
      <c r="N17" s="43" t="s">
        <v>39</v>
      </c>
      <c r="O17" s="53" t="s">
        <v>39</v>
      </c>
      <c r="P17" s="193"/>
      <c r="Q17" s="194"/>
      <c r="R17" s="193"/>
      <c r="S17" s="194"/>
      <c r="T17" s="322" t="s">
        <v>120</v>
      </c>
      <c r="U17" s="322" t="s">
        <v>130</v>
      </c>
      <c r="V17" s="168" t="s">
        <v>131</v>
      </c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</row>
    <row r="18" spans="1:52" ht="14.25" customHeight="1">
      <c r="A18" s="12"/>
      <c r="B18" s="43" t="s">
        <v>96</v>
      </c>
      <c r="C18" s="43" t="s">
        <v>27</v>
      </c>
      <c r="D18" s="43" t="s">
        <v>54</v>
      </c>
      <c r="E18" s="43" t="s">
        <v>134</v>
      </c>
      <c r="F18" s="43" t="s">
        <v>29</v>
      </c>
      <c r="G18" s="43" t="s">
        <v>60</v>
      </c>
      <c r="H18" s="43" t="s">
        <v>135</v>
      </c>
      <c r="I18" s="43" t="s">
        <v>136</v>
      </c>
      <c r="J18" s="43" t="s">
        <v>137</v>
      </c>
      <c r="K18" s="43" t="s">
        <v>145</v>
      </c>
      <c r="L18" s="234"/>
      <c r="M18" s="316"/>
      <c r="N18" s="43" t="s">
        <v>26</v>
      </c>
      <c r="O18" s="53" t="s">
        <v>26</v>
      </c>
      <c r="P18" s="193"/>
      <c r="Q18" s="194"/>
      <c r="R18" s="193"/>
      <c r="S18" s="194"/>
      <c r="T18" s="323"/>
      <c r="U18" s="323"/>
      <c r="V18" s="169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</row>
    <row r="19" spans="1:52" ht="13.5" customHeight="1">
      <c r="A19" s="12"/>
      <c r="B19" s="79"/>
      <c r="C19" s="43"/>
      <c r="D19" s="43" t="s">
        <v>55</v>
      </c>
      <c r="E19" s="43" t="s">
        <v>29</v>
      </c>
      <c r="F19" s="43" t="s">
        <v>57</v>
      </c>
      <c r="G19" s="43" t="s">
        <v>61</v>
      </c>
      <c r="H19" s="41"/>
      <c r="I19" s="42"/>
      <c r="J19" s="43" t="s">
        <v>32</v>
      </c>
      <c r="K19" s="43" t="s">
        <v>32</v>
      </c>
      <c r="L19" s="234"/>
      <c r="M19" s="316"/>
      <c r="N19" s="80" t="s">
        <v>64</v>
      </c>
      <c r="O19" s="81" t="s">
        <v>94</v>
      </c>
      <c r="P19" s="195"/>
      <c r="Q19" s="196"/>
      <c r="R19" s="195"/>
      <c r="S19" s="196"/>
      <c r="T19" s="323"/>
      <c r="U19" s="323"/>
      <c r="V19" s="169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</row>
    <row r="20" spans="1:52" ht="12.75" customHeight="1">
      <c r="A20" s="12"/>
      <c r="B20" s="55"/>
      <c r="C20" s="55"/>
      <c r="D20" s="82" t="s">
        <v>31</v>
      </c>
      <c r="E20" s="55"/>
      <c r="F20" s="47"/>
      <c r="G20" s="47"/>
      <c r="H20" s="54"/>
      <c r="I20" s="54"/>
      <c r="J20" s="55"/>
      <c r="K20" s="55"/>
      <c r="L20" s="235"/>
      <c r="M20" s="317"/>
      <c r="N20" s="54">
        <v>1000</v>
      </c>
      <c r="O20" s="55">
        <v>1000</v>
      </c>
      <c r="P20" s="83" t="s">
        <v>33</v>
      </c>
      <c r="Q20" s="105">
        <f>IF(K12="","",(CONCATENATE(K12)-R43))</f>
      </c>
      <c r="R20" s="83" t="s">
        <v>43</v>
      </c>
      <c r="S20" s="105">
        <f>IF(S12="","",(CONCATENATE(S12)-T43))</f>
      </c>
      <c r="T20" s="323"/>
      <c r="U20" s="323"/>
      <c r="V20" s="162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</row>
    <row r="21" spans="1:52" ht="12.75" customHeight="1">
      <c r="A21" s="12"/>
      <c r="B21" s="56"/>
      <c r="C21" s="63"/>
      <c r="D21" s="58"/>
      <c r="E21" s="59"/>
      <c r="F21" s="60">
        <f>IF(E21="","",D21*E21)</f>
      </c>
      <c r="G21" s="60">
        <f>IF(F21="","",F21/E6)</f>
      </c>
      <c r="H21" s="59"/>
      <c r="I21" s="59"/>
      <c r="J21" s="61"/>
      <c r="K21" s="61"/>
      <c r="L21" s="50">
        <f aca="true" t="shared" si="0" ref="L21:L33">IF(K21="","",IF(AND($S$9="Swine",H21="SI",I21="liquid"),0.8,C100))</f>
      </c>
      <c r="M21" s="50">
        <f>IF(L21="","",K21/L21)</f>
      </c>
      <c r="N21" s="62">
        <f>IF(J21="","",(G21*J21)/1000)</f>
      </c>
      <c r="O21" s="62">
        <f>IF(K21="","",(G21*M21)/1000)</f>
      </c>
      <c r="P21" s="189">
        <f>IF(N21="","",Q20-N21)</f>
      </c>
      <c r="Q21" s="190"/>
      <c r="R21" s="189">
        <f>IF(O21="","",S20-O21)</f>
      </c>
      <c r="S21" s="190"/>
      <c r="T21" s="61"/>
      <c r="U21" s="84"/>
      <c r="V21" s="61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</row>
    <row r="22" spans="1:52" ht="12.75" customHeight="1">
      <c r="A22" s="12"/>
      <c r="B22" s="56"/>
      <c r="C22" s="63"/>
      <c r="D22" s="58"/>
      <c r="E22" s="59"/>
      <c r="F22" s="60">
        <f aca="true" t="shared" si="1" ref="F22:F33">IF(E22="","",D22*E22)</f>
      </c>
      <c r="G22" s="60">
        <f>IF(F22="","",F22/E6)</f>
      </c>
      <c r="H22" s="59"/>
      <c r="I22" s="59"/>
      <c r="J22" s="61"/>
      <c r="K22" s="61"/>
      <c r="L22" s="50">
        <f t="shared" si="0"/>
      </c>
      <c r="M22" s="50">
        <f aca="true" t="shared" si="2" ref="M22:M33">IF(L22="","",K22/L22)</f>
      </c>
      <c r="N22" s="62">
        <f>IF(J22="","",(G22*J22)/1000)</f>
      </c>
      <c r="O22" s="62">
        <f aca="true" t="shared" si="3" ref="O22:O33">IF(K22="","",(G22*M22)/1000)</f>
      </c>
      <c r="P22" s="189">
        <f>IF(N22="","",P21-N22)</f>
      </c>
      <c r="Q22" s="190"/>
      <c r="R22" s="189">
        <f>IF(O22="","",R21-O22)</f>
      </c>
      <c r="S22" s="190"/>
      <c r="T22" s="61"/>
      <c r="U22" s="84"/>
      <c r="V22" s="61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</row>
    <row r="23" spans="1:52" ht="12.75" customHeight="1">
      <c r="A23" s="12"/>
      <c r="B23" s="56"/>
      <c r="C23" s="63"/>
      <c r="D23" s="58"/>
      <c r="E23" s="59"/>
      <c r="F23" s="60">
        <f t="shared" si="1"/>
      </c>
      <c r="G23" s="60">
        <f>IF(F23="","",F23/E6)</f>
      </c>
      <c r="H23" s="59"/>
      <c r="I23" s="59"/>
      <c r="J23" s="61"/>
      <c r="K23" s="61"/>
      <c r="L23" s="50">
        <f t="shared" si="0"/>
      </c>
      <c r="M23" s="50">
        <f t="shared" si="2"/>
      </c>
      <c r="N23" s="62">
        <f>IF(J23="","",(G23*J23)/1000)</f>
      </c>
      <c r="O23" s="62">
        <f t="shared" si="3"/>
      </c>
      <c r="P23" s="189">
        <f>IF(N23="","",P22-N23)</f>
      </c>
      <c r="Q23" s="190"/>
      <c r="R23" s="189">
        <f>IF(O23="","",R22-O23)</f>
      </c>
      <c r="S23" s="190"/>
      <c r="T23" s="61"/>
      <c r="U23" s="84"/>
      <c r="V23" s="61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</row>
    <row r="24" spans="1:52" ht="12.75" customHeight="1">
      <c r="A24" s="12"/>
      <c r="B24" s="56"/>
      <c r="C24" s="63"/>
      <c r="D24" s="58"/>
      <c r="E24" s="59"/>
      <c r="F24" s="60">
        <f t="shared" si="1"/>
      </c>
      <c r="G24" s="60">
        <f>IF(F24="","",F24/E6)</f>
      </c>
      <c r="H24" s="59"/>
      <c r="I24" s="59"/>
      <c r="J24" s="61"/>
      <c r="K24" s="61"/>
      <c r="L24" s="50">
        <f t="shared" si="0"/>
      </c>
      <c r="M24" s="50">
        <f t="shared" si="2"/>
      </c>
      <c r="N24" s="62">
        <f>IF(J24="","",(G24*J24)/1000)</f>
      </c>
      <c r="O24" s="62">
        <f t="shared" si="3"/>
      </c>
      <c r="P24" s="189">
        <f>IF(N24="","",P23-N24)</f>
      </c>
      <c r="Q24" s="190"/>
      <c r="R24" s="189">
        <f>IF(O24="","",R23-O24)</f>
      </c>
      <c r="S24" s="190"/>
      <c r="T24" s="61"/>
      <c r="U24" s="84"/>
      <c r="V24" s="61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</row>
    <row r="25" spans="1:52" ht="12.75" customHeight="1">
      <c r="A25" s="12"/>
      <c r="B25" s="56"/>
      <c r="C25" s="63"/>
      <c r="D25" s="58"/>
      <c r="E25" s="59"/>
      <c r="F25" s="60">
        <f t="shared" si="1"/>
      </c>
      <c r="G25" s="60">
        <f>IF(F25="","",F25/E6)</f>
      </c>
      <c r="H25" s="59"/>
      <c r="I25" s="59"/>
      <c r="J25" s="61"/>
      <c r="K25" s="61"/>
      <c r="L25" s="50">
        <f t="shared" si="0"/>
      </c>
      <c r="M25" s="50">
        <f t="shared" si="2"/>
      </c>
      <c r="N25" s="62">
        <f aca="true" t="shared" si="4" ref="N25:N33">IF(J25="","",(G25*J25)/1000)</f>
      </c>
      <c r="O25" s="62">
        <f t="shared" si="3"/>
      </c>
      <c r="P25" s="189">
        <f>IF(N25="","",P24-N25)</f>
      </c>
      <c r="Q25" s="190"/>
      <c r="R25" s="189">
        <f>IF(O25="","",R24-O25)</f>
      </c>
      <c r="S25" s="190"/>
      <c r="T25" s="61"/>
      <c r="U25" s="84"/>
      <c r="V25" s="61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</row>
    <row r="26" spans="1:52" ht="12.75" customHeight="1">
      <c r="A26" s="12"/>
      <c r="B26" s="56"/>
      <c r="C26" s="63"/>
      <c r="D26" s="58"/>
      <c r="E26" s="59"/>
      <c r="F26" s="60">
        <f t="shared" si="1"/>
      </c>
      <c r="G26" s="60">
        <f>IF(F26="","",F26/E6)</f>
      </c>
      <c r="H26" s="59"/>
      <c r="I26" s="59"/>
      <c r="J26" s="61"/>
      <c r="K26" s="61"/>
      <c r="L26" s="50">
        <f t="shared" si="0"/>
      </c>
      <c r="M26" s="50">
        <f t="shared" si="2"/>
      </c>
      <c r="N26" s="62">
        <f t="shared" si="4"/>
      </c>
      <c r="O26" s="62">
        <f t="shared" si="3"/>
      </c>
      <c r="P26" s="189">
        <f>IF(N26="","",P25-N26)</f>
      </c>
      <c r="Q26" s="190"/>
      <c r="R26" s="189">
        <f>IF(O26="","",R25-O26)</f>
      </c>
      <c r="S26" s="190"/>
      <c r="T26" s="61"/>
      <c r="U26" s="84"/>
      <c r="V26" s="61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</row>
    <row r="27" spans="1:52" ht="12.75" customHeight="1">
      <c r="A27" s="12"/>
      <c r="B27" s="56"/>
      <c r="C27" s="63"/>
      <c r="D27" s="58"/>
      <c r="E27" s="59"/>
      <c r="F27" s="60">
        <f t="shared" si="1"/>
      </c>
      <c r="G27" s="60">
        <f>IF(F27="","",F27/E6)</f>
      </c>
      <c r="H27" s="59"/>
      <c r="I27" s="59"/>
      <c r="J27" s="61"/>
      <c r="K27" s="61"/>
      <c r="L27" s="50">
        <f t="shared" si="0"/>
      </c>
      <c r="M27" s="50">
        <f t="shared" si="2"/>
      </c>
      <c r="N27" s="62">
        <f t="shared" si="4"/>
      </c>
      <c r="O27" s="62">
        <f t="shared" si="3"/>
      </c>
      <c r="P27" s="189">
        <f aca="true" t="shared" si="5" ref="P27:P33">IF(N27="","",P26-N27)</f>
      </c>
      <c r="Q27" s="190"/>
      <c r="R27" s="189">
        <f aca="true" t="shared" si="6" ref="R27:R33">IF(O27="","",R26-O27)</f>
      </c>
      <c r="S27" s="190"/>
      <c r="T27" s="61"/>
      <c r="U27" s="84"/>
      <c r="V27" s="61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</row>
    <row r="28" spans="1:52" ht="12.75" customHeight="1">
      <c r="A28" s="12"/>
      <c r="B28" s="56"/>
      <c r="C28" s="63"/>
      <c r="D28" s="58"/>
      <c r="E28" s="59"/>
      <c r="F28" s="60">
        <f t="shared" si="1"/>
      </c>
      <c r="G28" s="60">
        <f>IF(F28="","",F28/E6)</f>
      </c>
      <c r="H28" s="59"/>
      <c r="I28" s="59"/>
      <c r="J28" s="61"/>
      <c r="K28" s="61"/>
      <c r="L28" s="50">
        <f t="shared" si="0"/>
      </c>
      <c r="M28" s="50">
        <f t="shared" si="2"/>
      </c>
      <c r="N28" s="62">
        <f t="shared" si="4"/>
      </c>
      <c r="O28" s="62">
        <f t="shared" si="3"/>
      </c>
      <c r="P28" s="189">
        <f t="shared" si="5"/>
      </c>
      <c r="Q28" s="190"/>
      <c r="R28" s="189">
        <f t="shared" si="6"/>
      </c>
      <c r="S28" s="190"/>
      <c r="T28" s="61"/>
      <c r="U28" s="84"/>
      <c r="V28" s="61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</row>
    <row r="29" spans="1:52" ht="12.75" customHeight="1">
      <c r="A29" s="12"/>
      <c r="B29" s="56"/>
      <c r="C29" s="63"/>
      <c r="D29" s="58"/>
      <c r="E29" s="59"/>
      <c r="F29" s="60">
        <f t="shared" si="1"/>
      </c>
      <c r="G29" s="60">
        <f>IF(F29="","",F29/E6)</f>
      </c>
      <c r="H29" s="59"/>
      <c r="I29" s="59"/>
      <c r="J29" s="61"/>
      <c r="K29" s="61"/>
      <c r="L29" s="50">
        <f t="shared" si="0"/>
      </c>
      <c r="M29" s="50">
        <f t="shared" si="2"/>
      </c>
      <c r="N29" s="62">
        <f t="shared" si="4"/>
      </c>
      <c r="O29" s="62">
        <f t="shared" si="3"/>
      </c>
      <c r="P29" s="189">
        <f t="shared" si="5"/>
      </c>
      <c r="Q29" s="190"/>
      <c r="R29" s="189">
        <f t="shared" si="6"/>
      </c>
      <c r="S29" s="190"/>
      <c r="T29" s="61"/>
      <c r="U29" s="84"/>
      <c r="V29" s="61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</row>
    <row r="30" spans="1:52" ht="12.75" customHeight="1">
      <c r="A30" s="12"/>
      <c r="B30" s="56"/>
      <c r="C30" s="63"/>
      <c r="D30" s="58"/>
      <c r="E30" s="59"/>
      <c r="F30" s="60">
        <f t="shared" si="1"/>
      </c>
      <c r="G30" s="60">
        <f>IF(F30="","",F30/E6)</f>
      </c>
      <c r="H30" s="59"/>
      <c r="I30" s="59"/>
      <c r="J30" s="61"/>
      <c r="K30" s="61"/>
      <c r="L30" s="50">
        <f t="shared" si="0"/>
      </c>
      <c r="M30" s="50">
        <f t="shared" si="2"/>
      </c>
      <c r="N30" s="62">
        <f t="shared" si="4"/>
      </c>
      <c r="O30" s="62">
        <f t="shared" si="3"/>
      </c>
      <c r="P30" s="189">
        <f t="shared" si="5"/>
      </c>
      <c r="Q30" s="190"/>
      <c r="R30" s="189">
        <f t="shared" si="6"/>
      </c>
      <c r="S30" s="190"/>
      <c r="T30" s="61"/>
      <c r="U30" s="84"/>
      <c r="V30" s="61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</row>
    <row r="31" spans="1:52" ht="12.75" customHeight="1">
      <c r="A31" s="12"/>
      <c r="B31" s="56"/>
      <c r="C31" s="63"/>
      <c r="D31" s="58"/>
      <c r="E31" s="59"/>
      <c r="F31" s="60">
        <f t="shared" si="1"/>
      </c>
      <c r="G31" s="60">
        <f>IF(F31="","",F31/E6)</f>
      </c>
      <c r="H31" s="59"/>
      <c r="I31" s="59"/>
      <c r="J31" s="61"/>
      <c r="K31" s="61"/>
      <c r="L31" s="50">
        <f t="shared" si="0"/>
      </c>
      <c r="M31" s="50">
        <f t="shared" si="2"/>
      </c>
      <c r="N31" s="62">
        <f t="shared" si="4"/>
      </c>
      <c r="O31" s="62">
        <f t="shared" si="3"/>
      </c>
      <c r="P31" s="189">
        <f t="shared" si="5"/>
      </c>
      <c r="Q31" s="190"/>
      <c r="R31" s="189">
        <f t="shared" si="6"/>
      </c>
      <c r="S31" s="190"/>
      <c r="T31" s="61"/>
      <c r="U31" s="84"/>
      <c r="V31" s="61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</row>
    <row r="32" spans="1:52" ht="12.75" customHeight="1">
      <c r="A32" s="12"/>
      <c r="B32" s="56"/>
      <c r="C32" s="63"/>
      <c r="D32" s="58"/>
      <c r="E32" s="59"/>
      <c r="F32" s="60">
        <f t="shared" si="1"/>
      </c>
      <c r="G32" s="60">
        <f>IF(F32="","",F32/E6)</f>
      </c>
      <c r="H32" s="59"/>
      <c r="I32" s="59"/>
      <c r="J32" s="61"/>
      <c r="K32" s="61"/>
      <c r="L32" s="50">
        <f t="shared" si="0"/>
      </c>
      <c r="M32" s="50">
        <f t="shared" si="2"/>
      </c>
      <c r="N32" s="62">
        <f t="shared" si="4"/>
      </c>
      <c r="O32" s="62">
        <f t="shared" si="3"/>
      </c>
      <c r="P32" s="189">
        <f t="shared" si="5"/>
      </c>
      <c r="Q32" s="190"/>
      <c r="R32" s="189">
        <f t="shared" si="6"/>
      </c>
      <c r="S32" s="190"/>
      <c r="T32" s="61"/>
      <c r="U32" s="84"/>
      <c r="V32" s="61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</row>
    <row r="33" spans="1:52" ht="12.75" customHeight="1">
      <c r="A33" s="12"/>
      <c r="B33" s="56"/>
      <c r="C33" s="63"/>
      <c r="D33" s="58"/>
      <c r="E33" s="59"/>
      <c r="F33" s="60">
        <f t="shared" si="1"/>
      </c>
      <c r="G33" s="60">
        <f>IF(F33="","",F33/E6)</f>
      </c>
      <c r="H33" s="59"/>
      <c r="I33" s="59"/>
      <c r="J33" s="61"/>
      <c r="K33" s="61"/>
      <c r="L33" s="50">
        <f t="shared" si="0"/>
      </c>
      <c r="M33" s="50">
        <f t="shared" si="2"/>
      </c>
      <c r="N33" s="62">
        <f t="shared" si="4"/>
      </c>
      <c r="O33" s="62">
        <f t="shared" si="3"/>
      </c>
      <c r="P33" s="189">
        <f t="shared" si="5"/>
      </c>
      <c r="Q33" s="190"/>
      <c r="R33" s="189">
        <f t="shared" si="6"/>
      </c>
      <c r="S33" s="190"/>
      <c r="T33" s="61"/>
      <c r="U33" s="84"/>
      <c r="V33" s="61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</row>
    <row r="34" spans="1:52" ht="13.5" customHeight="1">
      <c r="A34" s="12"/>
      <c r="B34" s="10"/>
      <c r="C34" s="10"/>
      <c r="D34" s="220" t="s">
        <v>91</v>
      </c>
      <c r="E34" s="221"/>
      <c r="F34" s="29">
        <f>SUM(F21:F33)</f>
        <v>0</v>
      </c>
      <c r="G34" s="37"/>
      <c r="H34" s="7"/>
      <c r="I34" s="7"/>
      <c r="J34" s="12"/>
      <c r="K34" s="314" t="s">
        <v>110</v>
      </c>
      <c r="L34" s="296"/>
      <c r="M34" s="296"/>
      <c r="N34" s="145">
        <f>SUM(N21:N33)+R43</f>
        <v>0</v>
      </c>
      <c r="O34" s="146">
        <f>SUM(O21:O33)+T43</f>
        <v>0</v>
      </c>
      <c r="P34" s="315" t="s">
        <v>141</v>
      </c>
      <c r="Q34" s="228"/>
      <c r="R34" s="228"/>
      <c r="S34" s="229"/>
      <c r="T34" s="12"/>
      <c r="U34" s="12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</row>
    <row r="35" spans="1:52" ht="13.5" customHeight="1">
      <c r="A35" s="12"/>
      <c r="B35" s="10"/>
      <c r="C35" s="12"/>
      <c r="D35" s="21" t="s">
        <v>35</v>
      </c>
      <c r="E35" s="181"/>
      <c r="F35" s="181"/>
      <c r="G35" s="181"/>
      <c r="H35" s="181"/>
      <c r="I35" s="36"/>
      <c r="J35" s="20"/>
      <c r="K35" s="21" t="s">
        <v>36</v>
      </c>
      <c r="L35" s="222"/>
      <c r="M35" s="223"/>
      <c r="N35" s="223"/>
      <c r="O35" s="223"/>
      <c r="P35" s="223"/>
      <c r="Q35" s="223"/>
      <c r="R35" s="36"/>
      <c r="S35" s="36"/>
      <c r="T35" s="36"/>
      <c r="U35" s="12"/>
      <c r="V35" s="12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</row>
    <row r="36" spans="1:52" ht="21.75" customHeight="1">
      <c r="A36" s="12"/>
      <c r="B36" s="20"/>
      <c r="C36" s="12"/>
      <c r="D36" s="21" t="s">
        <v>37</v>
      </c>
      <c r="E36" s="181"/>
      <c r="F36" s="181"/>
      <c r="G36" s="181"/>
      <c r="H36" s="181"/>
      <c r="I36" s="36"/>
      <c r="J36" s="20"/>
      <c r="K36" s="21" t="s">
        <v>38</v>
      </c>
      <c r="L36" s="222"/>
      <c r="M36" s="223"/>
      <c r="N36" s="223"/>
      <c r="O36" s="223"/>
      <c r="P36" s="271"/>
      <c r="Q36" s="271"/>
      <c r="R36" s="36"/>
      <c r="S36" s="36"/>
      <c r="T36" s="36"/>
      <c r="U36" s="12"/>
      <c r="V36" s="12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</row>
    <row r="37" spans="1:52" ht="13.5" customHeight="1">
      <c r="A37" s="12"/>
      <c r="B37" s="287" t="s">
        <v>65</v>
      </c>
      <c r="C37" s="287"/>
      <c r="D37" s="287"/>
      <c r="E37" s="287"/>
      <c r="F37" s="287"/>
      <c r="G37" s="287"/>
      <c r="H37" s="287"/>
      <c r="I37" s="287"/>
      <c r="J37" s="287"/>
      <c r="K37" s="287"/>
      <c r="L37" s="22"/>
      <c r="M37" s="22"/>
      <c r="N37" s="20"/>
      <c r="O37" s="147"/>
      <c r="P37" s="178" t="s">
        <v>207</v>
      </c>
      <c r="Q37" s="178"/>
      <c r="R37" s="178"/>
      <c r="S37" s="178"/>
      <c r="T37" s="179"/>
      <c r="U37" s="179"/>
      <c r="V37" s="179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</row>
    <row r="38" spans="1:52" ht="12.75">
      <c r="A38" s="12"/>
      <c r="B38" s="22" t="s">
        <v>143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184" t="s">
        <v>23</v>
      </c>
      <c r="Q38" s="186"/>
      <c r="R38" s="184" t="s">
        <v>201</v>
      </c>
      <c r="S38" s="186"/>
      <c r="T38" s="184" t="s">
        <v>202</v>
      </c>
      <c r="U38" s="185"/>
      <c r="V38" s="186"/>
      <c r="W38" s="36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</row>
    <row r="39" spans="1:52" ht="12.75">
      <c r="A39" s="12"/>
      <c r="B39" s="12" t="s">
        <v>191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187"/>
      <c r="Q39" s="188"/>
      <c r="R39" s="175"/>
      <c r="S39" s="176"/>
      <c r="T39" s="180"/>
      <c r="U39" s="181"/>
      <c r="V39" s="182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</row>
    <row r="40" spans="1:52" ht="12.75">
      <c r="A40" s="12"/>
      <c r="B40" s="12" t="s">
        <v>97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75"/>
      <c r="P40" s="177"/>
      <c r="Q40" s="177"/>
      <c r="R40" s="175"/>
      <c r="S40" s="176"/>
      <c r="T40" s="175"/>
      <c r="U40" s="183"/>
      <c r="V40" s="176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</row>
    <row r="41" spans="1:52" ht="12.75" customHeight="1">
      <c r="A41" s="12"/>
      <c r="B41" s="12" t="s">
        <v>133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177"/>
      <c r="Q41" s="177"/>
      <c r="R41" s="175"/>
      <c r="S41" s="176"/>
      <c r="T41" s="175"/>
      <c r="U41" s="183"/>
      <c r="V41" s="176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</row>
    <row r="42" spans="1:52" ht="12.75" customHeight="1">
      <c r="A42" s="12"/>
      <c r="B42" s="22" t="s">
        <v>146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177"/>
      <c r="Q42" s="177"/>
      <c r="R42" s="175"/>
      <c r="S42" s="176"/>
      <c r="T42" s="175"/>
      <c r="U42" s="183"/>
      <c r="V42" s="176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</row>
    <row r="43" spans="1:52" ht="12.75" customHeight="1">
      <c r="A43" s="12"/>
      <c r="B43" s="22" t="s">
        <v>147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174" t="s">
        <v>25</v>
      </c>
      <c r="Q43" s="174"/>
      <c r="R43" s="174">
        <f>SUM(R39:R42)</f>
        <v>0</v>
      </c>
      <c r="S43" s="174"/>
      <c r="T43" s="174">
        <f>SUM(T39:T42)</f>
        <v>0</v>
      </c>
      <c r="U43" s="174"/>
      <c r="V43" s="174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</row>
    <row r="44" spans="1:52" ht="12.75" customHeight="1">
      <c r="A44" s="12"/>
      <c r="B44" s="12" t="s">
        <v>98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</row>
    <row r="45" spans="2:52" ht="12.75" customHeight="1">
      <c r="B45" s="12" t="s">
        <v>209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318" t="s">
        <v>213</v>
      </c>
      <c r="Q45" s="318"/>
      <c r="R45" s="318"/>
      <c r="S45" s="318"/>
      <c r="T45" s="318"/>
      <c r="U45" s="318"/>
      <c r="V45" s="318"/>
      <c r="W45" s="23"/>
      <c r="X45" s="23"/>
      <c r="Y45" s="23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</row>
    <row r="46" spans="2:52" ht="12.75">
      <c r="B46" s="1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</row>
    <row r="47" spans="2:52" ht="12.7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</row>
    <row r="48" spans="2:52" ht="12.7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</row>
    <row r="49" spans="2:52" ht="12.7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</row>
    <row r="50" spans="2:52" ht="12.7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</row>
    <row r="51" spans="2:52" ht="12.7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</row>
    <row r="52" spans="2:52" ht="12.7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</row>
    <row r="53" spans="2:52" ht="12.7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</row>
    <row r="54" spans="2:52" ht="12.7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 s="23"/>
      <c r="X54" s="23"/>
      <c r="Y54" s="23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</row>
    <row r="55" spans="2:52" ht="12.7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 s="23"/>
      <c r="X55" s="23"/>
      <c r="Y55" s="23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</row>
    <row r="56" spans="2:52" ht="12.7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 s="23"/>
      <c r="X56" s="23"/>
      <c r="Y56" s="23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</row>
    <row r="57" spans="2:25" ht="12.7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2:25" ht="12.7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2:25" ht="12.7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2:25" ht="12.7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2:25" ht="12.7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2:25" ht="12.7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2:25" ht="12.7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2:25" ht="12.7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2:25" ht="12.7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2:25" ht="12.7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2:25" ht="12.7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2:25" ht="12.7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2:25" ht="12.7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2:25" ht="12.7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2:25" ht="12.7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2:25" ht="12.7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2:25" ht="12.7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2:25" ht="12.7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2:25" ht="12.7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2:25" ht="12.7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2:25" ht="12.7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2:25" ht="12.7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2:25" ht="12.7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2:25" ht="12.7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2:25" ht="12.7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2:25" ht="12.7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2:25" ht="12.7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2:25" ht="12.7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2:25" ht="12.7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2:25" ht="12.7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2:25" ht="12.7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2:25" ht="12.7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2:25" ht="12.7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2:25" ht="12.7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2:25" ht="12.7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2:25" ht="12.7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2:25" ht="12.7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2:25" ht="12.7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2:25" ht="12.7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2:25" ht="12.7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2:25" ht="12.7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2:25" ht="12.7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2:25" ht="12.75" hidden="1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2:51" ht="12.75" hidden="1">
      <c r="B100"/>
      <c r="C100" s="76">
        <f aca="true" t="shared" si="7" ref="C100:C112">IF(AND($S$9="Swine",$H21="BR",$I21="liquid"),0.7,D100)</f>
        <v>0</v>
      </c>
      <c r="D100" s="76">
        <f aca="true" t="shared" si="8" ref="D100:E112">IF(AND($S$9="Swine",$H21="IN",$I21="liquid"),0.8,E100)</f>
        <v>0</v>
      </c>
      <c r="E100" s="76">
        <f t="shared" si="8"/>
        <v>0</v>
      </c>
      <c r="F100" s="76">
        <f aca="true" t="shared" si="9" ref="F100:F112">IF(AND($S$9="Swine",$H21="IN",$I21="slurry"),0.8,G100)</f>
        <v>0</v>
      </c>
      <c r="G100" s="76">
        <f aca="true" t="shared" si="10" ref="G100:G112">IF(AND($S$9="Swine",$H21="SI",$I21="slurry"),0.8,H100)</f>
        <v>0</v>
      </c>
      <c r="H100" s="76">
        <f aca="true" t="shared" si="11" ref="H100:H112">IF(AND($S$9="Swine",$H21="BR",$I21="slurry"),0.7,I100)</f>
        <v>0</v>
      </c>
      <c r="I100" s="76">
        <f aca="true" t="shared" si="12" ref="I100:I112">IF(AND($S$9="Swine",$H21="BR",$I21="sludge"),0.7,J100)</f>
        <v>0</v>
      </c>
      <c r="J100" s="76">
        <f aca="true" t="shared" si="13" ref="J100:J112">IF(AND($S$9="Swine",$H21="SI",$I21="sludge"),0.8,K100)</f>
        <v>0</v>
      </c>
      <c r="K100" s="76">
        <f aca="true" t="shared" si="14" ref="K100:K112">IF(AND($S$9="Swine",$H21="IN",$I21="sludge"),0.8,L100)</f>
        <v>0</v>
      </c>
      <c r="L100" s="76">
        <f aca="true" t="shared" si="15" ref="L100:L112">IF(AND($S$9="Poultry",$H21="SI",$I21="sludge"),0.8,M100)</f>
        <v>0</v>
      </c>
      <c r="M100" s="76">
        <f aca="true" t="shared" si="16" ref="M100:M112">IF(AND($S$9="Poultry",$H21="BR",$I21="sludge"),0.7,N100)</f>
        <v>0</v>
      </c>
      <c r="N100" s="76">
        <f aca="true" t="shared" si="17" ref="N100:N112">IF(AND($S$9="Poultry",$H21="IN",$I21="sludge"),0.8,O100)</f>
        <v>0</v>
      </c>
      <c r="O100" s="76">
        <f aca="true" t="shared" si="18" ref="O100:O112">IF(AND($S$9="Poultry",$H21="IN",$I21="slurry"),0.8,P100)</f>
        <v>0</v>
      </c>
      <c r="P100" s="76">
        <f aca="true" t="shared" si="19" ref="P100:P112">IF(AND($S$9="Poultry",$H21="BR",$I21="slurry"),0.7,Q100)</f>
        <v>0</v>
      </c>
      <c r="Q100" s="76">
        <f aca="true" t="shared" si="20" ref="Q100:Q112">IF(AND($S$9="Poultry",$H21="SI",$I21="slurry"),0.8,R100)</f>
        <v>0</v>
      </c>
      <c r="R100" s="76">
        <f aca="true" t="shared" si="21" ref="R100:R112">IF(AND($S$9="Poultry",$H21="SI",$I21="liquid"),0.8,S100)</f>
        <v>0</v>
      </c>
      <c r="S100" s="76">
        <f aca="true" t="shared" si="22" ref="S100:S112">IF(AND($S$9="Poultry",$H21="BR",$I21="liquid"),0.7,T100)</f>
        <v>0</v>
      </c>
      <c r="T100" s="76">
        <f aca="true" t="shared" si="23" ref="T100:T112">IF(AND($S$9="Poultry",$H21="IN",$I21="liquid"),0.8,U100)</f>
        <v>0</v>
      </c>
      <c r="U100" s="76">
        <f aca="true" t="shared" si="24" ref="U100:U112">IF(AND($S$9="Dairy",$H21="IN",$I21="slurry"),0.8,V100)</f>
        <v>0</v>
      </c>
      <c r="V100" s="76">
        <f aca="true" t="shared" si="25" ref="V100:V112">IF(AND($S$9="Dairy",$H21="BR",$I21="slurry"),0.7,W100)</f>
        <v>0</v>
      </c>
      <c r="W100" s="76">
        <f aca="true" t="shared" si="26" ref="W100:W112">IF(AND($S$9="Dairy",$H21="SI",$I21="slurry"),0.8,X100)</f>
        <v>0</v>
      </c>
      <c r="X100" s="76">
        <f aca="true" t="shared" si="27" ref="X100:X112">IF(AND($S$9="Dairy",$H21="BR",$I21="MSSSP"),0.6,Y100)</f>
        <v>0</v>
      </c>
      <c r="Y100" s="76">
        <f aca="true" t="shared" si="28" ref="Y100:Y112">IF(AND($S$9="Dairy",$H21="SI",$I21="MSSSP"),0.75,Z100)</f>
        <v>0</v>
      </c>
      <c r="Z100" s="76">
        <f aca="true" t="shared" si="29" ref="Z100:Z112">IF(AND($S$9="Dairy",$H21="SI",$I21="sludge"),"ERROR",AA100)</f>
        <v>0</v>
      </c>
      <c r="AA100" s="76">
        <f aca="true" t="shared" si="30" ref="AA100:AA112">IF(AND($S$9="Dairy",$H21="in",$I21="sludge"),"ERROR",AB100)</f>
        <v>0</v>
      </c>
      <c r="AB100" s="76">
        <f aca="true" t="shared" si="31" ref="AB100:AB112">IF(AND($S$9="Dairy",$H21="br",$I21="sludge"),"ERROR",AC100)</f>
        <v>0</v>
      </c>
      <c r="AC100" s="76">
        <f aca="true" t="shared" si="32" ref="AC100:AC112">IF(AND($S$9="Dairy",$H21="br",$I21="liquid"),"ERROR",AD100)</f>
        <v>0</v>
      </c>
      <c r="AD100" s="76">
        <f aca="true" t="shared" si="33" ref="AD100:AD112">IF(AND($S$9="Dairy",$H21="si",$I21="liquid"),"ERROR",AE100)</f>
        <v>0</v>
      </c>
      <c r="AE100" s="76">
        <f aca="true" t="shared" si="34" ref="AE100:AE112">IF(AND($S$9="Dairy",$H21="in",$I21="liquid"),"ERROR",AF100)</f>
        <v>0</v>
      </c>
      <c r="AF100" s="76">
        <f aca="true" t="shared" si="35" ref="AF100:AF112">IF(AND($S$9="beef",$H21="in",$I21="liquid"),0.8,AG100)</f>
        <v>0</v>
      </c>
      <c r="AG100" s="76">
        <f aca="true" t="shared" si="36" ref="AG100:AG112">IF(AND($S$9="beef",$H21="br",$I21="liquid"),0.7,AH100)</f>
        <v>0</v>
      </c>
      <c r="AH100" s="76">
        <f aca="true" t="shared" si="37" ref="AH100:AH112">IF(AND($S$9="beef",$H21="si",$I21="liquid"),0.8,AI100)</f>
        <v>0</v>
      </c>
      <c r="AI100" s="76">
        <f aca="true" t="shared" si="38" ref="AI100:AI112">IF(AND($S$9="beef",$H21="si",$I21="slurry"),0.8,AJ100)</f>
        <v>0</v>
      </c>
      <c r="AJ100" s="76">
        <f aca="true" t="shared" si="39" ref="AJ100:AJ112">IF(AND($S$9="beef",$H21="in",$I21="slurry"),0.8,AK100)</f>
        <v>0</v>
      </c>
      <c r="AK100" s="76">
        <f aca="true" t="shared" si="40" ref="AK100:AK112">IF(AND($S$9="beef",$H21="br",$I21="slurry"),0.7,AL100)</f>
        <v>0</v>
      </c>
      <c r="AL100" s="76">
        <f aca="true" t="shared" si="41" ref="AL100:AL112">IF(AND($S$9="beef",$H21="br",$I21="sludge"),0.7,AM100)</f>
        <v>0</v>
      </c>
      <c r="AM100" s="76">
        <f aca="true" t="shared" si="42" ref="AM100:AM112">IF(AND($S$9="beef",$H21="in",$I21="sludge"),0.8,AN100)</f>
        <v>0</v>
      </c>
      <c r="AN100" s="76">
        <f aca="true" t="shared" si="43" ref="AN100:AN112">IF(AND($S$9="beef",$H21="si",$I21="sludge"),0.8,AO100)</f>
        <v>0</v>
      </c>
      <c r="AO100" s="76">
        <f aca="true" t="shared" si="44" ref="AO100:AO112">IF(AND($S$9="swine",$H21="si",$I21="msssp"),0.75,AP100)</f>
        <v>0</v>
      </c>
      <c r="AP100" s="76">
        <f aca="true" t="shared" si="45" ref="AP100:AP112">IF(AND($S$9="swine",$H21="br",$I21="msssp"),0.6,AQ100)</f>
        <v>0</v>
      </c>
      <c r="AQ100" s="76">
        <f aca="true" t="shared" si="46" ref="AQ100:AQ112">IF(AND($S$9="swine",$H21="in",$I21="msssp"),"ERROR",AR100)</f>
        <v>0</v>
      </c>
      <c r="AR100" s="76">
        <f aca="true" t="shared" si="47" ref="AR100:AR112">IF(AND($S$9="poultry",$H21="in",$I21="msssp"),"ERROR",AS100)</f>
        <v>0</v>
      </c>
      <c r="AS100" s="76">
        <f aca="true" t="shared" si="48" ref="AS100:AS112">IF(AND($S$9="poultry",$H21="br",$I21="msssp"),"ERROR",AT100)</f>
        <v>0</v>
      </c>
      <c r="AT100" s="76">
        <f aca="true" t="shared" si="49" ref="AT100:AT112">IF(AND($S$9="poultry",$H21="si",$I21="msssp"),"ERROR",AU100)</f>
        <v>0</v>
      </c>
      <c r="AU100" s="76">
        <f aca="true" t="shared" si="50" ref="AU100:AU112">IF(AND($S$9="dairy",$H21="in",$I21="msssp"),"ERROR",AV100)</f>
        <v>0</v>
      </c>
      <c r="AV100" s="76">
        <f aca="true" t="shared" si="51" ref="AV100:AV112">IF(AND($S$9="beef",$H21="in",$I21="msssp"),"ERROR",AW100)</f>
        <v>0</v>
      </c>
      <c r="AW100" s="76">
        <f aca="true" t="shared" si="52" ref="AW100:AW112">IF(AND($S$9="beef",$H21="br",$I21="msssp"),0.6,AX100)</f>
        <v>0</v>
      </c>
      <c r="AX100" s="76">
        <f aca="true" t="shared" si="53" ref="AX100:AX112">IF(AND($S$9="beef",$H21="si",$I21="msssp"),0.75,AY100)</f>
        <v>0</v>
      </c>
      <c r="AY100" s="42"/>
    </row>
    <row r="101" spans="2:51" ht="12.75" hidden="1">
      <c r="B101"/>
      <c r="C101" s="76">
        <f t="shared" si="7"/>
        <v>0</v>
      </c>
      <c r="D101" s="76">
        <f t="shared" si="8"/>
        <v>0</v>
      </c>
      <c r="E101" s="76">
        <f t="shared" si="8"/>
        <v>0</v>
      </c>
      <c r="F101" s="76">
        <f t="shared" si="9"/>
        <v>0</v>
      </c>
      <c r="G101" s="76">
        <f t="shared" si="10"/>
        <v>0</v>
      </c>
      <c r="H101" s="76">
        <f t="shared" si="11"/>
        <v>0</v>
      </c>
      <c r="I101" s="76">
        <f t="shared" si="12"/>
        <v>0</v>
      </c>
      <c r="J101" s="76">
        <f t="shared" si="13"/>
        <v>0</v>
      </c>
      <c r="K101" s="76">
        <f t="shared" si="14"/>
        <v>0</v>
      </c>
      <c r="L101" s="76">
        <f t="shared" si="15"/>
        <v>0</v>
      </c>
      <c r="M101" s="76">
        <f t="shared" si="16"/>
        <v>0</v>
      </c>
      <c r="N101" s="76">
        <f t="shared" si="17"/>
        <v>0</v>
      </c>
      <c r="O101" s="76">
        <f t="shared" si="18"/>
        <v>0</v>
      </c>
      <c r="P101" s="76">
        <f t="shared" si="19"/>
        <v>0</v>
      </c>
      <c r="Q101" s="76">
        <f t="shared" si="20"/>
        <v>0</v>
      </c>
      <c r="R101" s="76">
        <f t="shared" si="21"/>
        <v>0</v>
      </c>
      <c r="S101" s="76">
        <f t="shared" si="22"/>
        <v>0</v>
      </c>
      <c r="T101" s="76">
        <f t="shared" si="23"/>
        <v>0</v>
      </c>
      <c r="U101" s="76">
        <f t="shared" si="24"/>
        <v>0</v>
      </c>
      <c r="V101" s="76">
        <f t="shared" si="25"/>
        <v>0</v>
      </c>
      <c r="W101" s="76">
        <f t="shared" si="26"/>
        <v>0</v>
      </c>
      <c r="X101" s="76">
        <f t="shared" si="27"/>
        <v>0</v>
      </c>
      <c r="Y101" s="76">
        <f t="shared" si="28"/>
        <v>0</v>
      </c>
      <c r="Z101" s="76">
        <f t="shared" si="29"/>
        <v>0</v>
      </c>
      <c r="AA101" s="76">
        <f t="shared" si="30"/>
        <v>0</v>
      </c>
      <c r="AB101" s="76">
        <f t="shared" si="31"/>
        <v>0</v>
      </c>
      <c r="AC101" s="76">
        <f t="shared" si="32"/>
        <v>0</v>
      </c>
      <c r="AD101" s="76">
        <f t="shared" si="33"/>
        <v>0</v>
      </c>
      <c r="AE101" s="76">
        <f t="shared" si="34"/>
        <v>0</v>
      </c>
      <c r="AF101" s="76">
        <f t="shared" si="35"/>
        <v>0</v>
      </c>
      <c r="AG101" s="76">
        <f t="shared" si="36"/>
        <v>0</v>
      </c>
      <c r="AH101" s="76">
        <f t="shared" si="37"/>
        <v>0</v>
      </c>
      <c r="AI101" s="76">
        <f t="shared" si="38"/>
        <v>0</v>
      </c>
      <c r="AJ101" s="76">
        <f t="shared" si="39"/>
        <v>0</v>
      </c>
      <c r="AK101" s="76">
        <f t="shared" si="40"/>
        <v>0</v>
      </c>
      <c r="AL101" s="76">
        <f t="shared" si="41"/>
        <v>0</v>
      </c>
      <c r="AM101" s="76">
        <f t="shared" si="42"/>
        <v>0</v>
      </c>
      <c r="AN101" s="76">
        <f t="shared" si="43"/>
        <v>0</v>
      </c>
      <c r="AO101" s="76">
        <f t="shared" si="44"/>
        <v>0</v>
      </c>
      <c r="AP101" s="76">
        <f t="shared" si="45"/>
        <v>0</v>
      </c>
      <c r="AQ101" s="76">
        <f t="shared" si="46"/>
        <v>0</v>
      </c>
      <c r="AR101" s="76">
        <f t="shared" si="47"/>
        <v>0</v>
      </c>
      <c r="AS101" s="76">
        <f t="shared" si="48"/>
        <v>0</v>
      </c>
      <c r="AT101" s="76">
        <f t="shared" si="49"/>
        <v>0</v>
      </c>
      <c r="AU101" s="76">
        <f t="shared" si="50"/>
        <v>0</v>
      </c>
      <c r="AV101" s="76">
        <f t="shared" si="51"/>
        <v>0</v>
      </c>
      <c r="AW101" s="76">
        <f t="shared" si="52"/>
        <v>0</v>
      </c>
      <c r="AX101" s="76">
        <f t="shared" si="53"/>
        <v>0</v>
      </c>
      <c r="AY101" s="42"/>
    </row>
    <row r="102" spans="2:51" ht="12.75" hidden="1">
      <c r="B102"/>
      <c r="C102" s="76">
        <f t="shared" si="7"/>
        <v>0</v>
      </c>
      <c r="D102" s="76">
        <f t="shared" si="8"/>
        <v>0</v>
      </c>
      <c r="E102" s="76">
        <f t="shared" si="8"/>
        <v>0</v>
      </c>
      <c r="F102" s="76">
        <f t="shared" si="9"/>
        <v>0</v>
      </c>
      <c r="G102" s="76">
        <f t="shared" si="10"/>
        <v>0</v>
      </c>
      <c r="H102" s="76">
        <f t="shared" si="11"/>
        <v>0</v>
      </c>
      <c r="I102" s="76">
        <f t="shared" si="12"/>
        <v>0</v>
      </c>
      <c r="J102" s="76">
        <f t="shared" si="13"/>
        <v>0</v>
      </c>
      <c r="K102" s="76">
        <f t="shared" si="14"/>
        <v>0</v>
      </c>
      <c r="L102" s="76">
        <f t="shared" si="15"/>
        <v>0</v>
      </c>
      <c r="M102" s="76">
        <f t="shared" si="16"/>
        <v>0</v>
      </c>
      <c r="N102" s="76">
        <f t="shared" si="17"/>
        <v>0</v>
      </c>
      <c r="O102" s="76">
        <f t="shared" si="18"/>
        <v>0</v>
      </c>
      <c r="P102" s="76">
        <f t="shared" si="19"/>
        <v>0</v>
      </c>
      <c r="Q102" s="76">
        <f t="shared" si="20"/>
        <v>0</v>
      </c>
      <c r="R102" s="76">
        <f t="shared" si="21"/>
        <v>0</v>
      </c>
      <c r="S102" s="76">
        <f t="shared" si="22"/>
        <v>0</v>
      </c>
      <c r="T102" s="76">
        <f t="shared" si="23"/>
        <v>0</v>
      </c>
      <c r="U102" s="76">
        <f t="shared" si="24"/>
        <v>0</v>
      </c>
      <c r="V102" s="76">
        <f t="shared" si="25"/>
        <v>0</v>
      </c>
      <c r="W102" s="76">
        <f t="shared" si="26"/>
        <v>0</v>
      </c>
      <c r="X102" s="76">
        <f t="shared" si="27"/>
        <v>0</v>
      </c>
      <c r="Y102" s="76">
        <f t="shared" si="28"/>
        <v>0</v>
      </c>
      <c r="Z102" s="76">
        <f t="shared" si="29"/>
        <v>0</v>
      </c>
      <c r="AA102" s="76">
        <f t="shared" si="30"/>
        <v>0</v>
      </c>
      <c r="AB102" s="76">
        <f t="shared" si="31"/>
        <v>0</v>
      </c>
      <c r="AC102" s="76">
        <f t="shared" si="32"/>
        <v>0</v>
      </c>
      <c r="AD102" s="76">
        <f t="shared" si="33"/>
        <v>0</v>
      </c>
      <c r="AE102" s="76">
        <f t="shared" si="34"/>
        <v>0</v>
      </c>
      <c r="AF102" s="76">
        <f t="shared" si="35"/>
        <v>0</v>
      </c>
      <c r="AG102" s="76">
        <f t="shared" si="36"/>
        <v>0</v>
      </c>
      <c r="AH102" s="76">
        <f t="shared" si="37"/>
        <v>0</v>
      </c>
      <c r="AI102" s="76">
        <f t="shared" si="38"/>
        <v>0</v>
      </c>
      <c r="AJ102" s="76">
        <f t="shared" si="39"/>
        <v>0</v>
      </c>
      <c r="AK102" s="76">
        <f t="shared" si="40"/>
        <v>0</v>
      </c>
      <c r="AL102" s="76">
        <f t="shared" si="41"/>
        <v>0</v>
      </c>
      <c r="AM102" s="76">
        <f t="shared" si="42"/>
        <v>0</v>
      </c>
      <c r="AN102" s="76">
        <f t="shared" si="43"/>
        <v>0</v>
      </c>
      <c r="AO102" s="76">
        <f t="shared" si="44"/>
        <v>0</v>
      </c>
      <c r="AP102" s="76">
        <f t="shared" si="45"/>
        <v>0</v>
      </c>
      <c r="AQ102" s="76">
        <f t="shared" si="46"/>
        <v>0</v>
      </c>
      <c r="AR102" s="76">
        <f t="shared" si="47"/>
        <v>0</v>
      </c>
      <c r="AS102" s="76">
        <f t="shared" si="48"/>
        <v>0</v>
      </c>
      <c r="AT102" s="76">
        <f t="shared" si="49"/>
        <v>0</v>
      </c>
      <c r="AU102" s="76">
        <f t="shared" si="50"/>
        <v>0</v>
      </c>
      <c r="AV102" s="76">
        <f t="shared" si="51"/>
        <v>0</v>
      </c>
      <c r="AW102" s="76">
        <f t="shared" si="52"/>
        <v>0</v>
      </c>
      <c r="AX102" s="76">
        <f t="shared" si="53"/>
        <v>0</v>
      </c>
      <c r="AY102" s="42"/>
    </row>
    <row r="103" spans="2:51" ht="12.75" hidden="1">
      <c r="B103"/>
      <c r="C103" s="76">
        <f t="shared" si="7"/>
        <v>0</v>
      </c>
      <c r="D103" s="76">
        <f t="shared" si="8"/>
        <v>0</v>
      </c>
      <c r="E103" s="76">
        <f t="shared" si="8"/>
        <v>0</v>
      </c>
      <c r="F103" s="76">
        <f t="shared" si="9"/>
        <v>0</v>
      </c>
      <c r="G103" s="76">
        <f t="shared" si="10"/>
        <v>0</v>
      </c>
      <c r="H103" s="76">
        <f t="shared" si="11"/>
        <v>0</v>
      </c>
      <c r="I103" s="76">
        <f t="shared" si="12"/>
        <v>0</v>
      </c>
      <c r="J103" s="76">
        <f t="shared" si="13"/>
        <v>0</v>
      </c>
      <c r="K103" s="76">
        <f t="shared" si="14"/>
        <v>0</v>
      </c>
      <c r="L103" s="76">
        <f t="shared" si="15"/>
        <v>0</v>
      </c>
      <c r="M103" s="76">
        <f t="shared" si="16"/>
        <v>0</v>
      </c>
      <c r="N103" s="76">
        <f t="shared" si="17"/>
        <v>0</v>
      </c>
      <c r="O103" s="76">
        <f t="shared" si="18"/>
        <v>0</v>
      </c>
      <c r="P103" s="76">
        <f t="shared" si="19"/>
        <v>0</v>
      </c>
      <c r="Q103" s="76">
        <f t="shared" si="20"/>
        <v>0</v>
      </c>
      <c r="R103" s="76">
        <f t="shared" si="21"/>
        <v>0</v>
      </c>
      <c r="S103" s="76">
        <f t="shared" si="22"/>
        <v>0</v>
      </c>
      <c r="T103" s="76">
        <f t="shared" si="23"/>
        <v>0</v>
      </c>
      <c r="U103" s="76">
        <f t="shared" si="24"/>
        <v>0</v>
      </c>
      <c r="V103" s="76">
        <f t="shared" si="25"/>
        <v>0</v>
      </c>
      <c r="W103" s="76">
        <f t="shared" si="26"/>
        <v>0</v>
      </c>
      <c r="X103" s="76">
        <f t="shared" si="27"/>
        <v>0</v>
      </c>
      <c r="Y103" s="76">
        <f t="shared" si="28"/>
        <v>0</v>
      </c>
      <c r="Z103" s="76">
        <f t="shared" si="29"/>
        <v>0</v>
      </c>
      <c r="AA103" s="76">
        <f t="shared" si="30"/>
        <v>0</v>
      </c>
      <c r="AB103" s="76">
        <f t="shared" si="31"/>
        <v>0</v>
      </c>
      <c r="AC103" s="76">
        <f t="shared" si="32"/>
        <v>0</v>
      </c>
      <c r="AD103" s="76">
        <f t="shared" si="33"/>
        <v>0</v>
      </c>
      <c r="AE103" s="76">
        <f t="shared" si="34"/>
        <v>0</v>
      </c>
      <c r="AF103" s="76">
        <f t="shared" si="35"/>
        <v>0</v>
      </c>
      <c r="AG103" s="76">
        <f t="shared" si="36"/>
        <v>0</v>
      </c>
      <c r="AH103" s="76">
        <f t="shared" si="37"/>
        <v>0</v>
      </c>
      <c r="AI103" s="76">
        <f t="shared" si="38"/>
        <v>0</v>
      </c>
      <c r="AJ103" s="76">
        <f t="shared" si="39"/>
        <v>0</v>
      </c>
      <c r="AK103" s="76">
        <f t="shared" si="40"/>
        <v>0</v>
      </c>
      <c r="AL103" s="76">
        <f t="shared" si="41"/>
        <v>0</v>
      </c>
      <c r="AM103" s="76">
        <f t="shared" si="42"/>
        <v>0</v>
      </c>
      <c r="AN103" s="76">
        <f t="shared" si="43"/>
        <v>0</v>
      </c>
      <c r="AO103" s="76">
        <f t="shared" si="44"/>
        <v>0</v>
      </c>
      <c r="AP103" s="76">
        <f t="shared" si="45"/>
        <v>0</v>
      </c>
      <c r="AQ103" s="76">
        <f t="shared" si="46"/>
        <v>0</v>
      </c>
      <c r="AR103" s="76">
        <f t="shared" si="47"/>
        <v>0</v>
      </c>
      <c r="AS103" s="76">
        <f t="shared" si="48"/>
        <v>0</v>
      </c>
      <c r="AT103" s="76">
        <f t="shared" si="49"/>
        <v>0</v>
      </c>
      <c r="AU103" s="76">
        <f t="shared" si="50"/>
        <v>0</v>
      </c>
      <c r="AV103" s="76">
        <f t="shared" si="51"/>
        <v>0</v>
      </c>
      <c r="AW103" s="76">
        <f t="shared" si="52"/>
        <v>0</v>
      </c>
      <c r="AX103" s="76">
        <f t="shared" si="53"/>
        <v>0</v>
      </c>
      <c r="AY103" s="42"/>
    </row>
    <row r="104" spans="2:51" ht="12.75" hidden="1">
      <c r="B104"/>
      <c r="C104" s="76">
        <f t="shared" si="7"/>
        <v>0</v>
      </c>
      <c r="D104" s="76">
        <f t="shared" si="8"/>
        <v>0</v>
      </c>
      <c r="E104" s="76">
        <f t="shared" si="8"/>
        <v>0</v>
      </c>
      <c r="F104" s="76">
        <f t="shared" si="9"/>
        <v>0</v>
      </c>
      <c r="G104" s="76">
        <f t="shared" si="10"/>
        <v>0</v>
      </c>
      <c r="H104" s="76">
        <f t="shared" si="11"/>
        <v>0</v>
      </c>
      <c r="I104" s="76">
        <f t="shared" si="12"/>
        <v>0</v>
      </c>
      <c r="J104" s="76">
        <f t="shared" si="13"/>
        <v>0</v>
      </c>
      <c r="K104" s="76">
        <f t="shared" si="14"/>
        <v>0</v>
      </c>
      <c r="L104" s="76">
        <f t="shared" si="15"/>
        <v>0</v>
      </c>
      <c r="M104" s="76">
        <f t="shared" si="16"/>
        <v>0</v>
      </c>
      <c r="N104" s="76">
        <f t="shared" si="17"/>
        <v>0</v>
      </c>
      <c r="O104" s="76">
        <f t="shared" si="18"/>
        <v>0</v>
      </c>
      <c r="P104" s="76">
        <f t="shared" si="19"/>
        <v>0</v>
      </c>
      <c r="Q104" s="76">
        <f t="shared" si="20"/>
        <v>0</v>
      </c>
      <c r="R104" s="76">
        <f t="shared" si="21"/>
        <v>0</v>
      </c>
      <c r="S104" s="76">
        <f t="shared" si="22"/>
        <v>0</v>
      </c>
      <c r="T104" s="76">
        <f t="shared" si="23"/>
        <v>0</v>
      </c>
      <c r="U104" s="76">
        <f t="shared" si="24"/>
        <v>0</v>
      </c>
      <c r="V104" s="76">
        <f t="shared" si="25"/>
        <v>0</v>
      </c>
      <c r="W104" s="76">
        <f t="shared" si="26"/>
        <v>0</v>
      </c>
      <c r="X104" s="76">
        <f t="shared" si="27"/>
        <v>0</v>
      </c>
      <c r="Y104" s="76">
        <f t="shared" si="28"/>
        <v>0</v>
      </c>
      <c r="Z104" s="76">
        <f t="shared" si="29"/>
        <v>0</v>
      </c>
      <c r="AA104" s="76">
        <f t="shared" si="30"/>
        <v>0</v>
      </c>
      <c r="AB104" s="76">
        <f t="shared" si="31"/>
        <v>0</v>
      </c>
      <c r="AC104" s="76">
        <f t="shared" si="32"/>
        <v>0</v>
      </c>
      <c r="AD104" s="76">
        <f t="shared" si="33"/>
        <v>0</v>
      </c>
      <c r="AE104" s="76">
        <f t="shared" si="34"/>
        <v>0</v>
      </c>
      <c r="AF104" s="76">
        <f t="shared" si="35"/>
        <v>0</v>
      </c>
      <c r="AG104" s="76">
        <f t="shared" si="36"/>
        <v>0</v>
      </c>
      <c r="AH104" s="76">
        <f t="shared" si="37"/>
        <v>0</v>
      </c>
      <c r="AI104" s="76">
        <f t="shared" si="38"/>
        <v>0</v>
      </c>
      <c r="AJ104" s="76">
        <f t="shared" si="39"/>
        <v>0</v>
      </c>
      <c r="AK104" s="76">
        <f t="shared" si="40"/>
        <v>0</v>
      </c>
      <c r="AL104" s="76">
        <f t="shared" si="41"/>
        <v>0</v>
      </c>
      <c r="AM104" s="76">
        <f t="shared" si="42"/>
        <v>0</v>
      </c>
      <c r="AN104" s="76">
        <f t="shared" si="43"/>
        <v>0</v>
      </c>
      <c r="AO104" s="76">
        <f t="shared" si="44"/>
        <v>0</v>
      </c>
      <c r="AP104" s="76">
        <f t="shared" si="45"/>
        <v>0</v>
      </c>
      <c r="AQ104" s="76">
        <f t="shared" si="46"/>
        <v>0</v>
      </c>
      <c r="AR104" s="76">
        <f t="shared" si="47"/>
        <v>0</v>
      </c>
      <c r="AS104" s="76">
        <f t="shared" si="48"/>
        <v>0</v>
      </c>
      <c r="AT104" s="76">
        <f t="shared" si="49"/>
        <v>0</v>
      </c>
      <c r="AU104" s="76">
        <f t="shared" si="50"/>
        <v>0</v>
      </c>
      <c r="AV104" s="76">
        <f t="shared" si="51"/>
        <v>0</v>
      </c>
      <c r="AW104" s="76">
        <f t="shared" si="52"/>
        <v>0</v>
      </c>
      <c r="AX104" s="76">
        <f t="shared" si="53"/>
        <v>0</v>
      </c>
      <c r="AY104" s="42"/>
    </row>
    <row r="105" spans="2:51" ht="12.75" hidden="1">
      <c r="B105"/>
      <c r="C105" s="76">
        <f t="shared" si="7"/>
        <v>0</v>
      </c>
      <c r="D105" s="76">
        <f t="shared" si="8"/>
        <v>0</v>
      </c>
      <c r="E105" s="76">
        <f t="shared" si="8"/>
        <v>0</v>
      </c>
      <c r="F105" s="76">
        <f t="shared" si="9"/>
        <v>0</v>
      </c>
      <c r="G105" s="76">
        <f t="shared" si="10"/>
        <v>0</v>
      </c>
      <c r="H105" s="76">
        <f t="shared" si="11"/>
        <v>0</v>
      </c>
      <c r="I105" s="76">
        <f t="shared" si="12"/>
        <v>0</v>
      </c>
      <c r="J105" s="76">
        <f t="shared" si="13"/>
        <v>0</v>
      </c>
      <c r="K105" s="76">
        <f t="shared" si="14"/>
        <v>0</v>
      </c>
      <c r="L105" s="76">
        <f t="shared" si="15"/>
        <v>0</v>
      </c>
      <c r="M105" s="76">
        <f t="shared" si="16"/>
        <v>0</v>
      </c>
      <c r="N105" s="76">
        <f t="shared" si="17"/>
        <v>0</v>
      </c>
      <c r="O105" s="76">
        <f t="shared" si="18"/>
        <v>0</v>
      </c>
      <c r="P105" s="76">
        <f t="shared" si="19"/>
        <v>0</v>
      </c>
      <c r="Q105" s="76">
        <f t="shared" si="20"/>
        <v>0</v>
      </c>
      <c r="R105" s="76">
        <f t="shared" si="21"/>
        <v>0</v>
      </c>
      <c r="S105" s="76">
        <f t="shared" si="22"/>
        <v>0</v>
      </c>
      <c r="T105" s="76">
        <f t="shared" si="23"/>
        <v>0</v>
      </c>
      <c r="U105" s="76">
        <f t="shared" si="24"/>
        <v>0</v>
      </c>
      <c r="V105" s="76">
        <f t="shared" si="25"/>
        <v>0</v>
      </c>
      <c r="W105" s="76">
        <f t="shared" si="26"/>
        <v>0</v>
      </c>
      <c r="X105" s="76">
        <f t="shared" si="27"/>
        <v>0</v>
      </c>
      <c r="Y105" s="76">
        <f t="shared" si="28"/>
        <v>0</v>
      </c>
      <c r="Z105" s="76">
        <f t="shared" si="29"/>
        <v>0</v>
      </c>
      <c r="AA105" s="76">
        <f t="shared" si="30"/>
        <v>0</v>
      </c>
      <c r="AB105" s="76">
        <f t="shared" si="31"/>
        <v>0</v>
      </c>
      <c r="AC105" s="76">
        <f t="shared" si="32"/>
        <v>0</v>
      </c>
      <c r="AD105" s="76">
        <f t="shared" si="33"/>
        <v>0</v>
      </c>
      <c r="AE105" s="76">
        <f t="shared" si="34"/>
        <v>0</v>
      </c>
      <c r="AF105" s="76">
        <f t="shared" si="35"/>
        <v>0</v>
      </c>
      <c r="AG105" s="76">
        <f t="shared" si="36"/>
        <v>0</v>
      </c>
      <c r="AH105" s="76">
        <f t="shared" si="37"/>
        <v>0</v>
      </c>
      <c r="AI105" s="76">
        <f t="shared" si="38"/>
        <v>0</v>
      </c>
      <c r="AJ105" s="76">
        <f t="shared" si="39"/>
        <v>0</v>
      </c>
      <c r="AK105" s="76">
        <f t="shared" si="40"/>
        <v>0</v>
      </c>
      <c r="AL105" s="76">
        <f t="shared" si="41"/>
        <v>0</v>
      </c>
      <c r="AM105" s="76">
        <f t="shared" si="42"/>
        <v>0</v>
      </c>
      <c r="AN105" s="76">
        <f t="shared" si="43"/>
        <v>0</v>
      </c>
      <c r="AO105" s="76">
        <f t="shared" si="44"/>
        <v>0</v>
      </c>
      <c r="AP105" s="76">
        <f t="shared" si="45"/>
        <v>0</v>
      </c>
      <c r="AQ105" s="76">
        <f t="shared" si="46"/>
        <v>0</v>
      </c>
      <c r="AR105" s="76">
        <f t="shared" si="47"/>
        <v>0</v>
      </c>
      <c r="AS105" s="76">
        <f t="shared" si="48"/>
        <v>0</v>
      </c>
      <c r="AT105" s="76">
        <f t="shared" si="49"/>
        <v>0</v>
      </c>
      <c r="AU105" s="76">
        <f t="shared" si="50"/>
        <v>0</v>
      </c>
      <c r="AV105" s="76">
        <f t="shared" si="51"/>
        <v>0</v>
      </c>
      <c r="AW105" s="76">
        <f t="shared" si="52"/>
        <v>0</v>
      </c>
      <c r="AX105" s="76">
        <f t="shared" si="53"/>
        <v>0</v>
      </c>
      <c r="AY105" s="42"/>
    </row>
    <row r="106" spans="2:51" ht="12.75" hidden="1">
      <c r="B106"/>
      <c r="C106" s="76">
        <f t="shared" si="7"/>
        <v>0</v>
      </c>
      <c r="D106" s="76">
        <f t="shared" si="8"/>
        <v>0</v>
      </c>
      <c r="E106" s="76">
        <f t="shared" si="8"/>
        <v>0</v>
      </c>
      <c r="F106" s="76">
        <f t="shared" si="9"/>
        <v>0</v>
      </c>
      <c r="G106" s="76">
        <f t="shared" si="10"/>
        <v>0</v>
      </c>
      <c r="H106" s="76">
        <f t="shared" si="11"/>
        <v>0</v>
      </c>
      <c r="I106" s="76">
        <f t="shared" si="12"/>
        <v>0</v>
      </c>
      <c r="J106" s="76">
        <f t="shared" si="13"/>
        <v>0</v>
      </c>
      <c r="K106" s="76">
        <f t="shared" si="14"/>
        <v>0</v>
      </c>
      <c r="L106" s="76">
        <f t="shared" si="15"/>
        <v>0</v>
      </c>
      <c r="M106" s="76">
        <f t="shared" si="16"/>
        <v>0</v>
      </c>
      <c r="N106" s="76">
        <f t="shared" si="17"/>
        <v>0</v>
      </c>
      <c r="O106" s="76">
        <f t="shared" si="18"/>
        <v>0</v>
      </c>
      <c r="P106" s="76">
        <f t="shared" si="19"/>
        <v>0</v>
      </c>
      <c r="Q106" s="76">
        <f t="shared" si="20"/>
        <v>0</v>
      </c>
      <c r="R106" s="76">
        <f t="shared" si="21"/>
        <v>0</v>
      </c>
      <c r="S106" s="76">
        <f t="shared" si="22"/>
        <v>0</v>
      </c>
      <c r="T106" s="76">
        <f t="shared" si="23"/>
        <v>0</v>
      </c>
      <c r="U106" s="76">
        <f t="shared" si="24"/>
        <v>0</v>
      </c>
      <c r="V106" s="76">
        <f t="shared" si="25"/>
        <v>0</v>
      </c>
      <c r="W106" s="76">
        <f t="shared" si="26"/>
        <v>0</v>
      </c>
      <c r="X106" s="76">
        <f t="shared" si="27"/>
        <v>0</v>
      </c>
      <c r="Y106" s="76">
        <f t="shared" si="28"/>
        <v>0</v>
      </c>
      <c r="Z106" s="76">
        <f t="shared" si="29"/>
        <v>0</v>
      </c>
      <c r="AA106" s="76">
        <f t="shared" si="30"/>
        <v>0</v>
      </c>
      <c r="AB106" s="76">
        <f t="shared" si="31"/>
        <v>0</v>
      </c>
      <c r="AC106" s="76">
        <f t="shared" si="32"/>
        <v>0</v>
      </c>
      <c r="AD106" s="76">
        <f t="shared" si="33"/>
        <v>0</v>
      </c>
      <c r="AE106" s="76">
        <f t="shared" si="34"/>
        <v>0</v>
      </c>
      <c r="AF106" s="76">
        <f t="shared" si="35"/>
        <v>0</v>
      </c>
      <c r="AG106" s="76">
        <f t="shared" si="36"/>
        <v>0</v>
      </c>
      <c r="AH106" s="76">
        <f t="shared" si="37"/>
        <v>0</v>
      </c>
      <c r="AI106" s="76">
        <f t="shared" si="38"/>
        <v>0</v>
      </c>
      <c r="AJ106" s="76">
        <f t="shared" si="39"/>
        <v>0</v>
      </c>
      <c r="AK106" s="76">
        <f t="shared" si="40"/>
        <v>0</v>
      </c>
      <c r="AL106" s="76">
        <f t="shared" si="41"/>
        <v>0</v>
      </c>
      <c r="AM106" s="76">
        <f t="shared" si="42"/>
        <v>0</v>
      </c>
      <c r="AN106" s="76">
        <f t="shared" si="43"/>
        <v>0</v>
      </c>
      <c r="AO106" s="76">
        <f t="shared" si="44"/>
        <v>0</v>
      </c>
      <c r="AP106" s="76">
        <f t="shared" si="45"/>
        <v>0</v>
      </c>
      <c r="AQ106" s="76">
        <f t="shared" si="46"/>
        <v>0</v>
      </c>
      <c r="AR106" s="76">
        <f t="shared" si="47"/>
        <v>0</v>
      </c>
      <c r="AS106" s="76">
        <f t="shared" si="48"/>
        <v>0</v>
      </c>
      <c r="AT106" s="76">
        <f t="shared" si="49"/>
        <v>0</v>
      </c>
      <c r="AU106" s="76">
        <f t="shared" si="50"/>
        <v>0</v>
      </c>
      <c r="AV106" s="76">
        <f t="shared" si="51"/>
        <v>0</v>
      </c>
      <c r="AW106" s="76">
        <f t="shared" si="52"/>
        <v>0</v>
      </c>
      <c r="AX106" s="76">
        <f t="shared" si="53"/>
        <v>0</v>
      </c>
      <c r="AY106" s="42"/>
    </row>
    <row r="107" spans="2:51" ht="12.75" hidden="1">
      <c r="B107"/>
      <c r="C107" s="76">
        <f t="shared" si="7"/>
        <v>0</v>
      </c>
      <c r="D107" s="76">
        <f t="shared" si="8"/>
        <v>0</v>
      </c>
      <c r="E107" s="76">
        <f t="shared" si="8"/>
        <v>0</v>
      </c>
      <c r="F107" s="76">
        <f t="shared" si="9"/>
        <v>0</v>
      </c>
      <c r="G107" s="76">
        <f t="shared" si="10"/>
        <v>0</v>
      </c>
      <c r="H107" s="76">
        <f t="shared" si="11"/>
        <v>0</v>
      </c>
      <c r="I107" s="76">
        <f t="shared" si="12"/>
        <v>0</v>
      </c>
      <c r="J107" s="76">
        <f t="shared" si="13"/>
        <v>0</v>
      </c>
      <c r="K107" s="76">
        <f t="shared" si="14"/>
        <v>0</v>
      </c>
      <c r="L107" s="76">
        <f t="shared" si="15"/>
        <v>0</v>
      </c>
      <c r="M107" s="76">
        <f t="shared" si="16"/>
        <v>0</v>
      </c>
      <c r="N107" s="76">
        <f t="shared" si="17"/>
        <v>0</v>
      </c>
      <c r="O107" s="76">
        <f t="shared" si="18"/>
        <v>0</v>
      </c>
      <c r="P107" s="76">
        <f t="shared" si="19"/>
        <v>0</v>
      </c>
      <c r="Q107" s="76">
        <f t="shared" si="20"/>
        <v>0</v>
      </c>
      <c r="R107" s="76">
        <f t="shared" si="21"/>
        <v>0</v>
      </c>
      <c r="S107" s="76">
        <f t="shared" si="22"/>
        <v>0</v>
      </c>
      <c r="T107" s="76">
        <f t="shared" si="23"/>
        <v>0</v>
      </c>
      <c r="U107" s="76">
        <f t="shared" si="24"/>
        <v>0</v>
      </c>
      <c r="V107" s="76">
        <f t="shared" si="25"/>
        <v>0</v>
      </c>
      <c r="W107" s="76">
        <f t="shared" si="26"/>
        <v>0</v>
      </c>
      <c r="X107" s="76">
        <f t="shared" si="27"/>
        <v>0</v>
      </c>
      <c r="Y107" s="76">
        <f t="shared" si="28"/>
        <v>0</v>
      </c>
      <c r="Z107" s="76">
        <f t="shared" si="29"/>
        <v>0</v>
      </c>
      <c r="AA107" s="76">
        <f t="shared" si="30"/>
        <v>0</v>
      </c>
      <c r="AB107" s="76">
        <f t="shared" si="31"/>
        <v>0</v>
      </c>
      <c r="AC107" s="76">
        <f t="shared" si="32"/>
        <v>0</v>
      </c>
      <c r="AD107" s="76">
        <f t="shared" si="33"/>
        <v>0</v>
      </c>
      <c r="AE107" s="76">
        <f t="shared" si="34"/>
        <v>0</v>
      </c>
      <c r="AF107" s="76">
        <f t="shared" si="35"/>
        <v>0</v>
      </c>
      <c r="AG107" s="76">
        <f t="shared" si="36"/>
        <v>0</v>
      </c>
      <c r="AH107" s="76">
        <f t="shared" si="37"/>
        <v>0</v>
      </c>
      <c r="AI107" s="76">
        <f t="shared" si="38"/>
        <v>0</v>
      </c>
      <c r="AJ107" s="76">
        <f t="shared" si="39"/>
        <v>0</v>
      </c>
      <c r="AK107" s="76">
        <f t="shared" si="40"/>
        <v>0</v>
      </c>
      <c r="AL107" s="76">
        <f t="shared" si="41"/>
        <v>0</v>
      </c>
      <c r="AM107" s="76">
        <f t="shared" si="42"/>
        <v>0</v>
      </c>
      <c r="AN107" s="76">
        <f t="shared" si="43"/>
        <v>0</v>
      </c>
      <c r="AO107" s="76">
        <f t="shared" si="44"/>
        <v>0</v>
      </c>
      <c r="AP107" s="76">
        <f t="shared" si="45"/>
        <v>0</v>
      </c>
      <c r="AQ107" s="76">
        <f t="shared" si="46"/>
        <v>0</v>
      </c>
      <c r="AR107" s="76">
        <f t="shared" si="47"/>
        <v>0</v>
      </c>
      <c r="AS107" s="76">
        <f t="shared" si="48"/>
        <v>0</v>
      </c>
      <c r="AT107" s="76">
        <f t="shared" si="49"/>
        <v>0</v>
      </c>
      <c r="AU107" s="76">
        <f t="shared" si="50"/>
        <v>0</v>
      </c>
      <c r="AV107" s="76">
        <f t="shared" si="51"/>
        <v>0</v>
      </c>
      <c r="AW107" s="76">
        <f t="shared" si="52"/>
        <v>0</v>
      </c>
      <c r="AX107" s="76">
        <f t="shared" si="53"/>
        <v>0</v>
      </c>
      <c r="AY107" s="42"/>
    </row>
    <row r="108" spans="2:51" ht="12.75" hidden="1">
      <c r="B108"/>
      <c r="C108" s="76">
        <f t="shared" si="7"/>
        <v>0</v>
      </c>
      <c r="D108" s="76">
        <f t="shared" si="8"/>
        <v>0</v>
      </c>
      <c r="E108" s="76">
        <f t="shared" si="8"/>
        <v>0</v>
      </c>
      <c r="F108" s="76">
        <f t="shared" si="9"/>
        <v>0</v>
      </c>
      <c r="G108" s="76">
        <f t="shared" si="10"/>
        <v>0</v>
      </c>
      <c r="H108" s="76">
        <f t="shared" si="11"/>
        <v>0</v>
      </c>
      <c r="I108" s="76">
        <f t="shared" si="12"/>
        <v>0</v>
      </c>
      <c r="J108" s="76">
        <f t="shared" si="13"/>
        <v>0</v>
      </c>
      <c r="K108" s="76">
        <f t="shared" si="14"/>
        <v>0</v>
      </c>
      <c r="L108" s="76">
        <f t="shared" si="15"/>
        <v>0</v>
      </c>
      <c r="M108" s="76">
        <f t="shared" si="16"/>
        <v>0</v>
      </c>
      <c r="N108" s="76">
        <f t="shared" si="17"/>
        <v>0</v>
      </c>
      <c r="O108" s="76">
        <f t="shared" si="18"/>
        <v>0</v>
      </c>
      <c r="P108" s="76">
        <f t="shared" si="19"/>
        <v>0</v>
      </c>
      <c r="Q108" s="76">
        <f t="shared" si="20"/>
        <v>0</v>
      </c>
      <c r="R108" s="76">
        <f t="shared" si="21"/>
        <v>0</v>
      </c>
      <c r="S108" s="76">
        <f t="shared" si="22"/>
        <v>0</v>
      </c>
      <c r="T108" s="76">
        <f t="shared" si="23"/>
        <v>0</v>
      </c>
      <c r="U108" s="76">
        <f t="shared" si="24"/>
        <v>0</v>
      </c>
      <c r="V108" s="76">
        <f t="shared" si="25"/>
        <v>0</v>
      </c>
      <c r="W108" s="76">
        <f t="shared" si="26"/>
        <v>0</v>
      </c>
      <c r="X108" s="76">
        <f t="shared" si="27"/>
        <v>0</v>
      </c>
      <c r="Y108" s="76">
        <f t="shared" si="28"/>
        <v>0</v>
      </c>
      <c r="Z108" s="76">
        <f t="shared" si="29"/>
        <v>0</v>
      </c>
      <c r="AA108" s="76">
        <f t="shared" si="30"/>
        <v>0</v>
      </c>
      <c r="AB108" s="76">
        <f t="shared" si="31"/>
        <v>0</v>
      </c>
      <c r="AC108" s="76">
        <f t="shared" si="32"/>
        <v>0</v>
      </c>
      <c r="AD108" s="76">
        <f t="shared" si="33"/>
        <v>0</v>
      </c>
      <c r="AE108" s="76">
        <f t="shared" si="34"/>
        <v>0</v>
      </c>
      <c r="AF108" s="76">
        <f t="shared" si="35"/>
        <v>0</v>
      </c>
      <c r="AG108" s="76">
        <f t="shared" si="36"/>
        <v>0</v>
      </c>
      <c r="AH108" s="76">
        <f t="shared" si="37"/>
        <v>0</v>
      </c>
      <c r="AI108" s="76">
        <f t="shared" si="38"/>
        <v>0</v>
      </c>
      <c r="AJ108" s="76">
        <f t="shared" si="39"/>
        <v>0</v>
      </c>
      <c r="AK108" s="76">
        <f t="shared" si="40"/>
        <v>0</v>
      </c>
      <c r="AL108" s="76">
        <f t="shared" si="41"/>
        <v>0</v>
      </c>
      <c r="AM108" s="76">
        <f t="shared" si="42"/>
        <v>0</v>
      </c>
      <c r="AN108" s="76">
        <f t="shared" si="43"/>
        <v>0</v>
      </c>
      <c r="AO108" s="76">
        <f t="shared" si="44"/>
        <v>0</v>
      </c>
      <c r="AP108" s="76">
        <f t="shared" si="45"/>
        <v>0</v>
      </c>
      <c r="AQ108" s="76">
        <f t="shared" si="46"/>
        <v>0</v>
      </c>
      <c r="AR108" s="76">
        <f t="shared" si="47"/>
        <v>0</v>
      </c>
      <c r="AS108" s="76">
        <f t="shared" si="48"/>
        <v>0</v>
      </c>
      <c r="AT108" s="76">
        <f t="shared" si="49"/>
        <v>0</v>
      </c>
      <c r="AU108" s="76">
        <f t="shared" si="50"/>
        <v>0</v>
      </c>
      <c r="AV108" s="76">
        <f t="shared" si="51"/>
        <v>0</v>
      </c>
      <c r="AW108" s="76">
        <f t="shared" si="52"/>
        <v>0</v>
      </c>
      <c r="AX108" s="76">
        <f t="shared" si="53"/>
        <v>0</v>
      </c>
      <c r="AY108" s="42"/>
    </row>
    <row r="109" spans="2:51" ht="12.75" hidden="1">
      <c r="B109"/>
      <c r="C109" s="76">
        <f t="shared" si="7"/>
        <v>0</v>
      </c>
      <c r="D109" s="76">
        <f t="shared" si="8"/>
        <v>0</v>
      </c>
      <c r="E109" s="76">
        <f t="shared" si="8"/>
        <v>0</v>
      </c>
      <c r="F109" s="76">
        <f t="shared" si="9"/>
        <v>0</v>
      </c>
      <c r="G109" s="76">
        <f t="shared" si="10"/>
        <v>0</v>
      </c>
      <c r="H109" s="76">
        <f t="shared" si="11"/>
        <v>0</v>
      </c>
      <c r="I109" s="76">
        <f t="shared" si="12"/>
        <v>0</v>
      </c>
      <c r="J109" s="76">
        <f t="shared" si="13"/>
        <v>0</v>
      </c>
      <c r="K109" s="76">
        <f t="shared" si="14"/>
        <v>0</v>
      </c>
      <c r="L109" s="76">
        <f t="shared" si="15"/>
        <v>0</v>
      </c>
      <c r="M109" s="76">
        <f t="shared" si="16"/>
        <v>0</v>
      </c>
      <c r="N109" s="76">
        <f t="shared" si="17"/>
        <v>0</v>
      </c>
      <c r="O109" s="76">
        <f t="shared" si="18"/>
        <v>0</v>
      </c>
      <c r="P109" s="76">
        <f t="shared" si="19"/>
        <v>0</v>
      </c>
      <c r="Q109" s="76">
        <f t="shared" si="20"/>
        <v>0</v>
      </c>
      <c r="R109" s="76">
        <f t="shared" si="21"/>
        <v>0</v>
      </c>
      <c r="S109" s="76">
        <f t="shared" si="22"/>
        <v>0</v>
      </c>
      <c r="T109" s="76">
        <f t="shared" si="23"/>
        <v>0</v>
      </c>
      <c r="U109" s="76">
        <f t="shared" si="24"/>
        <v>0</v>
      </c>
      <c r="V109" s="76">
        <f t="shared" si="25"/>
        <v>0</v>
      </c>
      <c r="W109" s="76">
        <f t="shared" si="26"/>
        <v>0</v>
      </c>
      <c r="X109" s="76">
        <f t="shared" si="27"/>
        <v>0</v>
      </c>
      <c r="Y109" s="76">
        <f t="shared" si="28"/>
        <v>0</v>
      </c>
      <c r="Z109" s="76">
        <f t="shared" si="29"/>
        <v>0</v>
      </c>
      <c r="AA109" s="76">
        <f t="shared" si="30"/>
        <v>0</v>
      </c>
      <c r="AB109" s="76">
        <f t="shared" si="31"/>
        <v>0</v>
      </c>
      <c r="AC109" s="76">
        <f t="shared" si="32"/>
        <v>0</v>
      </c>
      <c r="AD109" s="76">
        <f t="shared" si="33"/>
        <v>0</v>
      </c>
      <c r="AE109" s="76">
        <f t="shared" si="34"/>
        <v>0</v>
      </c>
      <c r="AF109" s="76">
        <f t="shared" si="35"/>
        <v>0</v>
      </c>
      <c r="AG109" s="76">
        <f t="shared" si="36"/>
        <v>0</v>
      </c>
      <c r="AH109" s="76">
        <f t="shared" si="37"/>
        <v>0</v>
      </c>
      <c r="AI109" s="76">
        <f t="shared" si="38"/>
        <v>0</v>
      </c>
      <c r="AJ109" s="76">
        <f t="shared" si="39"/>
        <v>0</v>
      </c>
      <c r="AK109" s="76">
        <f t="shared" si="40"/>
        <v>0</v>
      </c>
      <c r="AL109" s="76">
        <f t="shared" si="41"/>
        <v>0</v>
      </c>
      <c r="AM109" s="76">
        <f t="shared" si="42"/>
        <v>0</v>
      </c>
      <c r="AN109" s="76">
        <f t="shared" si="43"/>
        <v>0</v>
      </c>
      <c r="AO109" s="76">
        <f t="shared" si="44"/>
        <v>0</v>
      </c>
      <c r="AP109" s="76">
        <f t="shared" si="45"/>
        <v>0</v>
      </c>
      <c r="AQ109" s="76">
        <f t="shared" si="46"/>
        <v>0</v>
      </c>
      <c r="AR109" s="76">
        <f t="shared" si="47"/>
        <v>0</v>
      </c>
      <c r="AS109" s="76">
        <f t="shared" si="48"/>
        <v>0</v>
      </c>
      <c r="AT109" s="76">
        <f t="shared" si="49"/>
        <v>0</v>
      </c>
      <c r="AU109" s="76">
        <f t="shared" si="50"/>
        <v>0</v>
      </c>
      <c r="AV109" s="76">
        <f t="shared" si="51"/>
        <v>0</v>
      </c>
      <c r="AW109" s="76">
        <f t="shared" si="52"/>
        <v>0</v>
      </c>
      <c r="AX109" s="76">
        <f t="shared" si="53"/>
        <v>0</v>
      </c>
      <c r="AY109" s="42"/>
    </row>
    <row r="110" spans="2:51" ht="12.75" hidden="1">
      <c r="B110"/>
      <c r="C110" s="76">
        <f t="shared" si="7"/>
        <v>0</v>
      </c>
      <c r="D110" s="76">
        <f t="shared" si="8"/>
        <v>0</v>
      </c>
      <c r="E110" s="76">
        <f t="shared" si="8"/>
        <v>0</v>
      </c>
      <c r="F110" s="76">
        <f t="shared" si="9"/>
        <v>0</v>
      </c>
      <c r="G110" s="76">
        <f t="shared" si="10"/>
        <v>0</v>
      </c>
      <c r="H110" s="76">
        <f t="shared" si="11"/>
        <v>0</v>
      </c>
      <c r="I110" s="76">
        <f t="shared" si="12"/>
        <v>0</v>
      </c>
      <c r="J110" s="76">
        <f t="shared" si="13"/>
        <v>0</v>
      </c>
      <c r="K110" s="76">
        <f t="shared" si="14"/>
        <v>0</v>
      </c>
      <c r="L110" s="76">
        <f t="shared" si="15"/>
        <v>0</v>
      </c>
      <c r="M110" s="76">
        <f t="shared" si="16"/>
        <v>0</v>
      </c>
      <c r="N110" s="76">
        <f t="shared" si="17"/>
        <v>0</v>
      </c>
      <c r="O110" s="76">
        <f t="shared" si="18"/>
        <v>0</v>
      </c>
      <c r="P110" s="76">
        <f t="shared" si="19"/>
        <v>0</v>
      </c>
      <c r="Q110" s="76">
        <f t="shared" si="20"/>
        <v>0</v>
      </c>
      <c r="R110" s="76">
        <f t="shared" si="21"/>
        <v>0</v>
      </c>
      <c r="S110" s="76">
        <f t="shared" si="22"/>
        <v>0</v>
      </c>
      <c r="T110" s="76">
        <f t="shared" si="23"/>
        <v>0</v>
      </c>
      <c r="U110" s="76">
        <f t="shared" si="24"/>
        <v>0</v>
      </c>
      <c r="V110" s="76">
        <f t="shared" si="25"/>
        <v>0</v>
      </c>
      <c r="W110" s="76">
        <f t="shared" si="26"/>
        <v>0</v>
      </c>
      <c r="X110" s="76">
        <f t="shared" si="27"/>
        <v>0</v>
      </c>
      <c r="Y110" s="76">
        <f t="shared" si="28"/>
        <v>0</v>
      </c>
      <c r="Z110" s="76">
        <f t="shared" si="29"/>
        <v>0</v>
      </c>
      <c r="AA110" s="76">
        <f t="shared" si="30"/>
        <v>0</v>
      </c>
      <c r="AB110" s="76">
        <f t="shared" si="31"/>
        <v>0</v>
      </c>
      <c r="AC110" s="76">
        <f t="shared" si="32"/>
        <v>0</v>
      </c>
      <c r="AD110" s="76">
        <f t="shared" si="33"/>
        <v>0</v>
      </c>
      <c r="AE110" s="76">
        <f t="shared" si="34"/>
        <v>0</v>
      </c>
      <c r="AF110" s="76">
        <f t="shared" si="35"/>
        <v>0</v>
      </c>
      <c r="AG110" s="76">
        <f t="shared" si="36"/>
        <v>0</v>
      </c>
      <c r="AH110" s="76">
        <f t="shared" si="37"/>
        <v>0</v>
      </c>
      <c r="AI110" s="76">
        <f t="shared" si="38"/>
        <v>0</v>
      </c>
      <c r="AJ110" s="76">
        <f t="shared" si="39"/>
        <v>0</v>
      </c>
      <c r="AK110" s="76">
        <f t="shared" si="40"/>
        <v>0</v>
      </c>
      <c r="AL110" s="76">
        <f t="shared" si="41"/>
        <v>0</v>
      </c>
      <c r="AM110" s="76">
        <f t="shared" si="42"/>
        <v>0</v>
      </c>
      <c r="AN110" s="76">
        <f t="shared" si="43"/>
        <v>0</v>
      </c>
      <c r="AO110" s="76">
        <f t="shared" si="44"/>
        <v>0</v>
      </c>
      <c r="AP110" s="76">
        <f t="shared" si="45"/>
        <v>0</v>
      </c>
      <c r="AQ110" s="76">
        <f t="shared" si="46"/>
        <v>0</v>
      </c>
      <c r="AR110" s="76">
        <f t="shared" si="47"/>
        <v>0</v>
      </c>
      <c r="AS110" s="76">
        <f t="shared" si="48"/>
        <v>0</v>
      </c>
      <c r="AT110" s="76">
        <f t="shared" si="49"/>
        <v>0</v>
      </c>
      <c r="AU110" s="76">
        <f t="shared" si="50"/>
        <v>0</v>
      </c>
      <c r="AV110" s="76">
        <f t="shared" si="51"/>
        <v>0</v>
      </c>
      <c r="AW110" s="76">
        <f t="shared" si="52"/>
        <v>0</v>
      </c>
      <c r="AX110" s="76">
        <f t="shared" si="53"/>
        <v>0</v>
      </c>
      <c r="AY110" s="42"/>
    </row>
    <row r="111" spans="2:51" ht="12.75" hidden="1">
      <c r="B111"/>
      <c r="C111" s="76">
        <f t="shared" si="7"/>
        <v>0</v>
      </c>
      <c r="D111" s="76">
        <f t="shared" si="8"/>
        <v>0</v>
      </c>
      <c r="E111" s="76">
        <f t="shared" si="8"/>
        <v>0</v>
      </c>
      <c r="F111" s="76">
        <f t="shared" si="9"/>
        <v>0</v>
      </c>
      <c r="G111" s="76">
        <f t="shared" si="10"/>
        <v>0</v>
      </c>
      <c r="H111" s="76">
        <f t="shared" si="11"/>
        <v>0</v>
      </c>
      <c r="I111" s="76">
        <f t="shared" si="12"/>
        <v>0</v>
      </c>
      <c r="J111" s="76">
        <f t="shared" si="13"/>
        <v>0</v>
      </c>
      <c r="K111" s="76">
        <f t="shared" si="14"/>
        <v>0</v>
      </c>
      <c r="L111" s="76">
        <f t="shared" si="15"/>
        <v>0</v>
      </c>
      <c r="M111" s="76">
        <f t="shared" si="16"/>
        <v>0</v>
      </c>
      <c r="N111" s="76">
        <f t="shared" si="17"/>
        <v>0</v>
      </c>
      <c r="O111" s="76">
        <f t="shared" si="18"/>
        <v>0</v>
      </c>
      <c r="P111" s="76">
        <f t="shared" si="19"/>
        <v>0</v>
      </c>
      <c r="Q111" s="76">
        <f t="shared" si="20"/>
        <v>0</v>
      </c>
      <c r="R111" s="76">
        <f t="shared" si="21"/>
        <v>0</v>
      </c>
      <c r="S111" s="76">
        <f t="shared" si="22"/>
        <v>0</v>
      </c>
      <c r="T111" s="76">
        <f t="shared" si="23"/>
        <v>0</v>
      </c>
      <c r="U111" s="76">
        <f t="shared" si="24"/>
        <v>0</v>
      </c>
      <c r="V111" s="76">
        <f t="shared" si="25"/>
        <v>0</v>
      </c>
      <c r="W111" s="76">
        <f t="shared" si="26"/>
        <v>0</v>
      </c>
      <c r="X111" s="76">
        <f t="shared" si="27"/>
        <v>0</v>
      </c>
      <c r="Y111" s="76">
        <f t="shared" si="28"/>
        <v>0</v>
      </c>
      <c r="Z111" s="76">
        <f t="shared" si="29"/>
        <v>0</v>
      </c>
      <c r="AA111" s="76">
        <f t="shared" si="30"/>
        <v>0</v>
      </c>
      <c r="AB111" s="76">
        <f t="shared" si="31"/>
        <v>0</v>
      </c>
      <c r="AC111" s="76">
        <f t="shared" si="32"/>
        <v>0</v>
      </c>
      <c r="AD111" s="76">
        <f t="shared" si="33"/>
        <v>0</v>
      </c>
      <c r="AE111" s="76">
        <f t="shared" si="34"/>
        <v>0</v>
      </c>
      <c r="AF111" s="76">
        <f t="shared" si="35"/>
        <v>0</v>
      </c>
      <c r="AG111" s="76">
        <f t="shared" si="36"/>
        <v>0</v>
      </c>
      <c r="AH111" s="76">
        <f t="shared" si="37"/>
        <v>0</v>
      </c>
      <c r="AI111" s="76">
        <f t="shared" si="38"/>
        <v>0</v>
      </c>
      <c r="AJ111" s="76">
        <f t="shared" si="39"/>
        <v>0</v>
      </c>
      <c r="AK111" s="76">
        <f t="shared" si="40"/>
        <v>0</v>
      </c>
      <c r="AL111" s="76">
        <f t="shared" si="41"/>
        <v>0</v>
      </c>
      <c r="AM111" s="76">
        <f t="shared" si="42"/>
        <v>0</v>
      </c>
      <c r="AN111" s="76">
        <f t="shared" si="43"/>
        <v>0</v>
      </c>
      <c r="AO111" s="76">
        <f t="shared" si="44"/>
        <v>0</v>
      </c>
      <c r="AP111" s="76">
        <f t="shared" si="45"/>
        <v>0</v>
      </c>
      <c r="AQ111" s="76">
        <f t="shared" si="46"/>
        <v>0</v>
      </c>
      <c r="AR111" s="76">
        <f t="shared" si="47"/>
        <v>0</v>
      </c>
      <c r="AS111" s="76">
        <f t="shared" si="48"/>
        <v>0</v>
      </c>
      <c r="AT111" s="76">
        <f t="shared" si="49"/>
        <v>0</v>
      </c>
      <c r="AU111" s="76">
        <f t="shared" si="50"/>
        <v>0</v>
      </c>
      <c r="AV111" s="76">
        <f t="shared" si="51"/>
        <v>0</v>
      </c>
      <c r="AW111" s="76">
        <f t="shared" si="52"/>
        <v>0</v>
      </c>
      <c r="AX111" s="76">
        <f t="shared" si="53"/>
        <v>0</v>
      </c>
      <c r="AY111" s="42"/>
    </row>
    <row r="112" spans="2:51" ht="12.75" hidden="1">
      <c r="B112"/>
      <c r="C112" s="76">
        <f t="shared" si="7"/>
        <v>0</v>
      </c>
      <c r="D112" s="76">
        <f t="shared" si="8"/>
        <v>0</v>
      </c>
      <c r="E112" s="76">
        <f t="shared" si="8"/>
        <v>0</v>
      </c>
      <c r="F112" s="76">
        <f t="shared" si="9"/>
        <v>0</v>
      </c>
      <c r="G112" s="76">
        <f t="shared" si="10"/>
        <v>0</v>
      </c>
      <c r="H112" s="76">
        <f t="shared" si="11"/>
        <v>0</v>
      </c>
      <c r="I112" s="76">
        <f t="shared" si="12"/>
        <v>0</v>
      </c>
      <c r="J112" s="76">
        <f t="shared" si="13"/>
        <v>0</v>
      </c>
      <c r="K112" s="76">
        <f t="shared" si="14"/>
        <v>0</v>
      </c>
      <c r="L112" s="76">
        <f t="shared" si="15"/>
        <v>0</v>
      </c>
      <c r="M112" s="76">
        <f t="shared" si="16"/>
        <v>0</v>
      </c>
      <c r="N112" s="76">
        <f t="shared" si="17"/>
        <v>0</v>
      </c>
      <c r="O112" s="76">
        <f t="shared" si="18"/>
        <v>0</v>
      </c>
      <c r="P112" s="76">
        <f t="shared" si="19"/>
        <v>0</v>
      </c>
      <c r="Q112" s="76">
        <f t="shared" si="20"/>
        <v>0</v>
      </c>
      <c r="R112" s="76">
        <f t="shared" si="21"/>
        <v>0</v>
      </c>
      <c r="S112" s="76">
        <f t="shared" si="22"/>
        <v>0</v>
      </c>
      <c r="T112" s="76">
        <f t="shared" si="23"/>
        <v>0</v>
      </c>
      <c r="U112" s="76">
        <f t="shared" si="24"/>
        <v>0</v>
      </c>
      <c r="V112" s="76">
        <f t="shared" si="25"/>
        <v>0</v>
      </c>
      <c r="W112" s="76">
        <f t="shared" si="26"/>
        <v>0</v>
      </c>
      <c r="X112" s="76">
        <f t="shared" si="27"/>
        <v>0</v>
      </c>
      <c r="Y112" s="76">
        <f t="shared" si="28"/>
        <v>0</v>
      </c>
      <c r="Z112" s="76">
        <f t="shared" si="29"/>
        <v>0</v>
      </c>
      <c r="AA112" s="76">
        <f t="shared" si="30"/>
        <v>0</v>
      </c>
      <c r="AB112" s="76">
        <f t="shared" si="31"/>
        <v>0</v>
      </c>
      <c r="AC112" s="76">
        <f t="shared" si="32"/>
        <v>0</v>
      </c>
      <c r="AD112" s="76">
        <f t="shared" si="33"/>
        <v>0</v>
      </c>
      <c r="AE112" s="76">
        <f t="shared" si="34"/>
        <v>0</v>
      </c>
      <c r="AF112" s="76">
        <f t="shared" si="35"/>
        <v>0</v>
      </c>
      <c r="AG112" s="76">
        <f t="shared" si="36"/>
        <v>0</v>
      </c>
      <c r="AH112" s="76">
        <f t="shared" si="37"/>
        <v>0</v>
      </c>
      <c r="AI112" s="76">
        <f t="shared" si="38"/>
        <v>0</v>
      </c>
      <c r="AJ112" s="76">
        <f t="shared" si="39"/>
        <v>0</v>
      </c>
      <c r="AK112" s="76">
        <f t="shared" si="40"/>
        <v>0</v>
      </c>
      <c r="AL112" s="76">
        <f t="shared" si="41"/>
        <v>0</v>
      </c>
      <c r="AM112" s="76">
        <f t="shared" si="42"/>
        <v>0</v>
      </c>
      <c r="AN112" s="76">
        <f t="shared" si="43"/>
        <v>0</v>
      </c>
      <c r="AO112" s="76">
        <f t="shared" si="44"/>
        <v>0</v>
      </c>
      <c r="AP112" s="76">
        <f t="shared" si="45"/>
        <v>0</v>
      </c>
      <c r="AQ112" s="76">
        <f t="shared" si="46"/>
        <v>0</v>
      </c>
      <c r="AR112" s="76">
        <f t="shared" si="47"/>
        <v>0</v>
      </c>
      <c r="AS112" s="76">
        <f t="shared" si="48"/>
        <v>0</v>
      </c>
      <c r="AT112" s="76">
        <f t="shared" si="49"/>
        <v>0</v>
      </c>
      <c r="AU112" s="76">
        <f t="shared" si="50"/>
        <v>0</v>
      </c>
      <c r="AV112" s="76">
        <f t="shared" si="51"/>
        <v>0</v>
      </c>
      <c r="AW112" s="76">
        <f t="shared" si="52"/>
        <v>0</v>
      </c>
      <c r="AX112" s="76">
        <f t="shared" si="53"/>
        <v>0</v>
      </c>
      <c r="AY112" s="42"/>
    </row>
    <row r="113" spans="2:51" ht="12.75" hidden="1">
      <c r="B113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</row>
    <row r="114" spans="2:25" ht="12.7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</row>
    <row r="115" spans="2:25" ht="12.7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</row>
    <row r="116" spans="2:25" ht="12.7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</row>
    <row r="117" spans="2:25" ht="12.7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</row>
    <row r="118" spans="2:25" ht="12.7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</row>
    <row r="119" spans="2:25" ht="12.7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</row>
    <row r="120" spans="2:25" ht="12.7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</row>
    <row r="121" spans="2:25" ht="12.7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</row>
    <row r="122" spans="2:25" ht="12.7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</row>
    <row r="123" spans="2:25" ht="12.7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</row>
    <row r="124" spans="2:25" ht="12.7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</row>
    <row r="125" spans="2:25" ht="12.7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</row>
    <row r="126" spans="2:25" ht="12.7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2:25" ht="12.7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</row>
    <row r="128" spans="2:25" ht="12.7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</row>
    <row r="129" spans="2:25" ht="12.7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</row>
    <row r="130" spans="2:25" ht="12.7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</row>
    <row r="131" spans="2:25" ht="12.7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</row>
    <row r="132" spans="2:25" ht="12.7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</row>
    <row r="133" spans="2:25" ht="12.7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</row>
    <row r="134" spans="2:25" ht="12.7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</row>
    <row r="135" spans="2:25" ht="12.7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</row>
    <row r="136" spans="2:25" ht="12.7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</row>
    <row r="137" spans="2:25" ht="12.7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</row>
    <row r="138" spans="2:25" ht="12.7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</row>
    <row r="139" spans="2:25" ht="12.7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</row>
    <row r="140" spans="2:25" ht="12.7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2:25" ht="12.7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</row>
    <row r="142" spans="2:25" ht="12.7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</row>
  </sheetData>
  <sheetProtection password="C903" sheet="1" objects="1" scenarios="1"/>
  <mergeCells count="79">
    <mergeCell ref="P45:V45"/>
    <mergeCell ref="K5:L5"/>
    <mergeCell ref="M5:N5"/>
    <mergeCell ref="T15:V16"/>
    <mergeCell ref="T17:T20"/>
    <mergeCell ref="U17:U20"/>
    <mergeCell ref="V17:V20"/>
    <mergeCell ref="S12:V13"/>
    <mergeCell ref="P37:V37"/>
    <mergeCell ref="T5:U5"/>
    <mergeCell ref="S7:T7"/>
    <mergeCell ref="M17:M20"/>
    <mergeCell ref="P27:Q27"/>
    <mergeCell ref="P24:Q24"/>
    <mergeCell ref="R27:S27"/>
    <mergeCell ref="P25:Q25"/>
    <mergeCell ref="P26:Q26"/>
    <mergeCell ref="B37:K37"/>
    <mergeCell ref="E35:H35"/>
    <mergeCell ref="E36:H36"/>
    <mergeCell ref="D34:E34"/>
    <mergeCell ref="K34:M34"/>
    <mergeCell ref="L35:Q35"/>
    <mergeCell ref="L36:Q36"/>
    <mergeCell ref="P34:S34"/>
    <mergeCell ref="E7:G7"/>
    <mergeCell ref="E8:G9"/>
    <mergeCell ref="E10:G10"/>
    <mergeCell ref="K7:N7"/>
    <mergeCell ref="K8:N9"/>
    <mergeCell ref="K10:N10"/>
    <mergeCell ref="R28:S28"/>
    <mergeCell ref="R29:S29"/>
    <mergeCell ref="R30:S30"/>
    <mergeCell ref="R31:S31"/>
    <mergeCell ref="P32:Q32"/>
    <mergeCell ref="P33:Q33"/>
    <mergeCell ref="P28:Q28"/>
    <mergeCell ref="P29:Q29"/>
    <mergeCell ref="P30:Q30"/>
    <mergeCell ref="P31:Q31"/>
    <mergeCell ref="R32:S32"/>
    <mergeCell ref="R33:S33"/>
    <mergeCell ref="S9:T9"/>
    <mergeCell ref="K12:N13"/>
    <mergeCell ref="R23:S23"/>
    <mergeCell ref="R24:S24"/>
    <mergeCell ref="R21:S21"/>
    <mergeCell ref="R22:S22"/>
    <mergeCell ref="R25:S25"/>
    <mergeCell ref="R26:S26"/>
    <mergeCell ref="E6:G6"/>
    <mergeCell ref="P21:Q21"/>
    <mergeCell ref="P22:Q22"/>
    <mergeCell ref="P23:Q23"/>
    <mergeCell ref="L15:L20"/>
    <mergeCell ref="O12:R13"/>
    <mergeCell ref="R15:S19"/>
    <mergeCell ref="Q6:S6"/>
    <mergeCell ref="E12:G13"/>
    <mergeCell ref="P15:Q19"/>
    <mergeCell ref="P38:Q38"/>
    <mergeCell ref="P39:Q39"/>
    <mergeCell ref="P40:Q40"/>
    <mergeCell ref="T38:V38"/>
    <mergeCell ref="T39:V39"/>
    <mergeCell ref="T40:V40"/>
    <mergeCell ref="R38:S38"/>
    <mergeCell ref="R39:S39"/>
    <mergeCell ref="R40:S40"/>
    <mergeCell ref="R41:S41"/>
    <mergeCell ref="P43:Q43"/>
    <mergeCell ref="R43:S43"/>
    <mergeCell ref="T43:V43"/>
    <mergeCell ref="T41:V41"/>
    <mergeCell ref="T42:V42"/>
    <mergeCell ref="P41:Q41"/>
    <mergeCell ref="P42:Q42"/>
    <mergeCell ref="R42:S42"/>
  </mergeCells>
  <dataValidations count="11">
    <dataValidation type="whole" operator="greaterThan" showInputMessage="1" showErrorMessage="1" sqref="E21:E33">
      <formula1>0</formula1>
    </dataValidation>
    <dataValidation type="whole" operator="greaterThan" allowBlank="1" showInputMessage="1" showErrorMessage="1" sqref="F21:F33">
      <formula1>0</formula1>
    </dataValidation>
    <dataValidation operator="greaterThan" allowBlank="1" showInputMessage="1" showErrorMessage="1" sqref="G21:G33 N21:O33"/>
    <dataValidation operator="greaterThan" showInputMessage="1" showErrorMessage="1" sqref="D21:D33"/>
    <dataValidation type="list" allowBlank="1" showInputMessage="1" showErrorMessage="1" prompt="Select operation type from the drop down list." sqref="R9">
      <formula1>"Swine,Poultry,Dairy"</formula1>
    </dataValidation>
    <dataValidation showInputMessage="1" showErrorMessage="1" sqref="K21"/>
    <dataValidation type="list" showInputMessage="1" showErrorMessage="1" prompt="Select the weather code from the drop down list.&#10;c-    Clear&#10;pc-  Partly Cloudy&#10;cl -  Cloudy&#10;r -   Rain&#10;s -   Snow/Sleet&#10;w -  Windy" error="Enter weather code as shown below.&#10;c   &#10;pc&#10;cl&#10;r&#10;s&#10;w" sqref="T21:V33">
      <formula1>"c,pc,cl,r,s,w"</formula1>
    </dataValidation>
    <dataValidation type="list" allowBlank="1" showInputMessage="1" showErrorMessage="1" prompt="Select operation type from the drop down list." error="Enter type of operation from the following:&#10;swine&#10;poultry&#10;dairy&#10;beef&#10;" sqref="S9:T9">
      <formula1>"swine,poultry,dairy,beef"</formula1>
    </dataValidation>
    <dataValidation type="date" showInputMessage="1" showErrorMessage="1" prompt="Enter date in following format:&#10;mm/dd/yr&#10;Example: 04/13/06" error="Enter date in following format:&#10;mm/dd/yr&#10;Example: 04/13/06" sqref="C21:C33">
      <formula1>38717</formula1>
      <formula2>102522</formula2>
    </dataValidation>
    <dataValidation type="list" showInputMessage="1" showErrorMessage="1" prompt="Select application method from the drop down list.&#10;si = Soil Incorporated&#10;        (disked)&#10;br = Broadcast  &#10;         (surface applied)&#10;in = Injected&#10;          (for liquid, slurry, or sludge&#10;            only)" error="Enter application method as shown below.&#10;si &#10;br&#10;in " sqref="H21:H33">
      <formula1>"si,br,in"</formula1>
    </dataValidation>
    <dataValidation type="list" showInputMessage="1" showErrorMessage="1" prompt="Select type of waste from the&#10;drop down list. &#10;    liquid&#10;    slurry&#10;    sludge&#10;    msssp = manure surface &#10;                  scraped or stockpiled&#10;&#10;For dairys choose slurry or msssp only.&#10;For poultry choose liquid, slurry, or sludge only." error="Entry must be from the following:&#10;liquid&#10;slurry&#10;sludge&#10;msssp&#10;Dairys must choose slurry or msssp.&#10;Poultry must choose liquid, slurry, or sludge." sqref="I21:I33">
      <formula1>"liquid,slurry,sludge,msssp"</formula1>
    </dataValidation>
  </dataValidations>
  <printOptions/>
  <pageMargins left="0.1" right="0.1" top="0" bottom="0" header="0" footer="0"/>
  <pageSetup horizontalDpi="1200" verticalDpi="1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K147"/>
  <sheetViews>
    <sheetView showGridLines="0" workbookViewId="0" topLeftCell="A1">
      <selection activeCell="AA54" sqref="AA54"/>
    </sheetView>
  </sheetViews>
  <sheetFormatPr defaultColWidth="9.140625" defaultRowHeight="12.75"/>
  <cols>
    <col min="1" max="1" width="3.57421875" style="1" customWidth="1"/>
    <col min="2" max="2" width="8.57421875" style="1" customWidth="1"/>
    <col min="3" max="3" width="7.7109375" style="1" customWidth="1"/>
    <col min="4" max="4" width="7.140625" style="1" customWidth="1"/>
    <col min="5" max="5" width="6.140625" style="1" customWidth="1"/>
    <col min="6" max="6" width="7.8515625" style="1" customWidth="1"/>
    <col min="7" max="7" width="6.00390625" style="1" customWidth="1"/>
    <col min="8" max="8" width="10.28125" style="1" customWidth="1"/>
    <col min="9" max="9" width="8.57421875" style="1" customWidth="1"/>
    <col min="10" max="12" width="7.7109375" style="1" customWidth="1"/>
    <col min="13" max="13" width="6.8515625" style="1" customWidth="1"/>
    <col min="14" max="14" width="7.28125" style="1" customWidth="1"/>
    <col min="15" max="15" width="2.421875" style="1" customWidth="1"/>
    <col min="16" max="16" width="6.140625" style="1" customWidth="1"/>
    <col min="17" max="17" width="2.7109375" style="1" customWidth="1"/>
    <col min="18" max="18" width="6.00390625" style="1" customWidth="1"/>
    <col min="19" max="21" width="3.421875" style="1" customWidth="1"/>
    <col min="22" max="22" width="4.7109375" style="1" customWidth="1"/>
    <col min="23" max="16384" width="9.140625" style="1" customWidth="1"/>
  </cols>
  <sheetData>
    <row r="1" spans="1:37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23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37" ht="13.5">
      <c r="A2" s="3" t="s">
        <v>204</v>
      </c>
      <c r="B2" s="3"/>
      <c r="C2" s="3"/>
      <c r="D2" s="3"/>
      <c r="E2" s="12"/>
      <c r="F2" s="12"/>
      <c r="G2" s="42"/>
      <c r="H2" s="5" t="s">
        <v>0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3"/>
      <c r="X2"/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1:37" ht="12.75">
      <c r="A3" s="5"/>
      <c r="B3" s="12"/>
      <c r="C3" s="12"/>
      <c r="D3" s="12"/>
      <c r="E3" s="5"/>
      <c r="F3" s="5"/>
      <c r="G3" s="42"/>
      <c r="H3" s="5" t="s">
        <v>63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2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ht="12.75">
      <c r="A4" s="5"/>
      <c r="B4" s="12"/>
      <c r="C4" s="12"/>
      <c r="D4" s="1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23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ht="12.75">
      <c r="A5" s="5"/>
      <c r="B5" s="5"/>
      <c r="C5" s="5"/>
      <c r="D5" s="7" t="s">
        <v>49</v>
      </c>
      <c r="E5" s="6"/>
      <c r="F5" s="18" t="s">
        <v>1</v>
      </c>
      <c r="G5" s="6"/>
      <c r="H5" s="5" t="s">
        <v>31</v>
      </c>
      <c r="I5" s="5"/>
      <c r="J5" s="5"/>
      <c r="K5" s="5" t="s">
        <v>2</v>
      </c>
      <c r="L5" s="160"/>
      <c r="M5" s="201"/>
      <c r="N5" s="8" t="s">
        <v>74</v>
      </c>
      <c r="O5" s="32"/>
      <c r="P5" s="13"/>
      <c r="Q5" s="13"/>
      <c r="R5" s="165"/>
      <c r="S5" s="250"/>
      <c r="T5" s="34"/>
      <c r="U5" s="34"/>
      <c r="V5" s="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1:37" ht="12.75">
      <c r="A6" s="5"/>
      <c r="B6" s="12"/>
      <c r="C6" s="5"/>
      <c r="D6" s="7" t="s">
        <v>48</v>
      </c>
      <c r="E6" s="230"/>
      <c r="F6" s="231"/>
      <c r="G6" s="232"/>
      <c r="H6" s="5"/>
      <c r="I6" s="5"/>
      <c r="J6" s="5"/>
      <c r="K6" s="5"/>
      <c r="L6" s="5"/>
      <c r="M6" s="5"/>
      <c r="N6" s="120" t="s">
        <v>173</v>
      </c>
      <c r="O6" s="5"/>
      <c r="P6" s="5"/>
      <c r="Q6" s="5"/>
      <c r="R6" s="5"/>
      <c r="S6" s="5"/>
      <c r="T6" s="5"/>
      <c r="U6" s="5"/>
      <c r="V6" s="5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12.75" customHeight="1">
      <c r="A7" s="5"/>
      <c r="B7" s="5"/>
      <c r="C7" s="7"/>
      <c r="D7" s="7" t="s">
        <v>3</v>
      </c>
      <c r="E7" s="160"/>
      <c r="F7" s="154"/>
      <c r="G7" s="211"/>
      <c r="H7" s="5"/>
      <c r="I7" s="7"/>
      <c r="J7" s="7" t="s">
        <v>4</v>
      </c>
      <c r="K7" s="160"/>
      <c r="L7" s="200"/>
      <c r="M7" s="201"/>
      <c r="N7" s="328"/>
      <c r="O7" s="325"/>
      <c r="P7" s="288"/>
      <c r="Q7" s="329"/>
      <c r="R7" s="140"/>
      <c r="S7"/>
      <c r="T7"/>
      <c r="U7"/>
      <c r="V7" s="5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2.75">
      <c r="A8" s="5"/>
      <c r="B8" s="5"/>
      <c r="C8" s="7"/>
      <c r="D8" s="7" t="s">
        <v>5</v>
      </c>
      <c r="E8" s="202"/>
      <c r="F8" s="203"/>
      <c r="G8" s="212"/>
      <c r="H8" s="5"/>
      <c r="I8" s="15"/>
      <c r="J8" s="7" t="s">
        <v>6</v>
      </c>
      <c r="K8" s="202"/>
      <c r="L8" s="204"/>
      <c r="M8" s="205"/>
      <c r="N8" s="12"/>
      <c r="O8" s="12"/>
      <c r="P8" s="4"/>
      <c r="Q8" s="14"/>
      <c r="R8" s="14"/>
      <c r="S8" s="5"/>
      <c r="T8" s="5"/>
      <c r="U8" s="5"/>
      <c r="V8" s="5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2.75">
      <c r="A9" s="5"/>
      <c r="B9" s="5"/>
      <c r="C9" s="5"/>
      <c r="D9" s="7"/>
      <c r="E9" s="213"/>
      <c r="F9" s="214"/>
      <c r="G9" s="215"/>
      <c r="H9" s="5"/>
      <c r="I9" s="5"/>
      <c r="J9" s="7" t="s">
        <v>46</v>
      </c>
      <c r="K9" s="206"/>
      <c r="L9" s="207"/>
      <c r="M9" s="208"/>
      <c r="N9" s="253" t="s">
        <v>152</v>
      </c>
      <c r="O9" s="254"/>
      <c r="P9" s="254"/>
      <c r="Q9" s="255"/>
      <c r="R9" s="330">
        <v>0.7</v>
      </c>
      <c r="S9" s="331"/>
      <c r="T9" s="34"/>
      <c r="U9" s="34"/>
      <c r="V9" s="5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2.75" customHeight="1">
      <c r="A10" s="5"/>
      <c r="B10" s="5"/>
      <c r="C10" s="7"/>
      <c r="D10" s="7" t="s">
        <v>7</v>
      </c>
      <c r="E10" s="160"/>
      <c r="F10" s="154"/>
      <c r="G10" s="211"/>
      <c r="H10" s="5"/>
      <c r="I10" s="5"/>
      <c r="J10" s="7" t="s">
        <v>47</v>
      </c>
      <c r="K10" s="160"/>
      <c r="L10" s="200"/>
      <c r="M10" s="201"/>
      <c r="N10" s="12"/>
      <c r="O10" s="32"/>
      <c r="P10" s="12"/>
      <c r="Q10" s="13"/>
      <c r="R10" s="33"/>
      <c r="S10" s="34"/>
      <c r="T10" s="34"/>
      <c r="U10" s="34"/>
      <c r="V10" s="34"/>
      <c r="W10" s="23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2.75" customHeight="1">
      <c r="A11" s="5"/>
      <c r="B11" s="5"/>
      <c r="C11" s="5"/>
      <c r="D11" s="7"/>
      <c r="E11" s="4"/>
      <c r="F11" s="4"/>
      <c r="G11" s="4"/>
      <c r="H11" s="327" t="s">
        <v>172</v>
      </c>
      <c r="I11" s="245"/>
      <c r="J11" s="245"/>
      <c r="K11" s="245"/>
      <c r="L11" s="5"/>
      <c r="M11" s="5"/>
      <c r="N11" s="5"/>
      <c r="O11" s="5"/>
      <c r="P11" s="5"/>
      <c r="Q11" s="5"/>
      <c r="R11" s="284"/>
      <c r="S11" s="284"/>
      <c r="T11" s="284"/>
      <c r="U11" s="284"/>
      <c r="V11" s="284"/>
      <c r="W11" s="23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6.5" customHeight="1">
      <c r="A12" s="5"/>
      <c r="B12" s="5"/>
      <c r="C12" s="5"/>
      <c r="D12" s="7" t="s">
        <v>8</v>
      </c>
      <c r="E12" s="272"/>
      <c r="F12" s="273"/>
      <c r="G12" s="274"/>
      <c r="H12" s="5"/>
      <c r="I12" s="5"/>
      <c r="J12" s="7" t="s">
        <v>9</v>
      </c>
      <c r="K12" s="289"/>
      <c r="L12" s="290"/>
      <c r="M12" s="291"/>
      <c r="N12" s="246" t="s">
        <v>165</v>
      </c>
      <c r="O12" s="247"/>
      <c r="P12" s="247"/>
      <c r="Q12" s="248"/>
      <c r="R12" s="249"/>
      <c r="S12" s="210"/>
      <c r="T12" s="210"/>
      <c r="U12" s="210"/>
      <c r="V12" s="210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2.75" customHeight="1">
      <c r="A13" s="5"/>
      <c r="B13" s="5"/>
      <c r="C13" s="5"/>
      <c r="D13" s="5"/>
      <c r="E13" s="275"/>
      <c r="F13" s="276"/>
      <c r="G13" s="277"/>
      <c r="H13" s="5"/>
      <c r="I13" s="5"/>
      <c r="J13" s="7" t="s">
        <v>10</v>
      </c>
      <c r="K13" s="292"/>
      <c r="L13" s="293"/>
      <c r="M13" s="294"/>
      <c r="N13" s="246"/>
      <c r="O13" s="247"/>
      <c r="P13" s="247"/>
      <c r="Q13" s="248"/>
      <c r="R13" s="210"/>
      <c r="S13" s="210"/>
      <c r="T13" s="210"/>
      <c r="U13" s="210"/>
      <c r="V13" s="210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2" customFormat="1" ht="13.5" customHeight="1">
      <c r="A14" s="27"/>
      <c r="B14" s="17" t="s">
        <v>11</v>
      </c>
      <c r="C14" s="17" t="s">
        <v>12</v>
      </c>
      <c r="D14" s="17" t="s">
        <v>13</v>
      </c>
      <c r="E14" s="17" t="s">
        <v>14</v>
      </c>
      <c r="F14" s="17" t="s">
        <v>15</v>
      </c>
      <c r="G14" s="17" t="s">
        <v>16</v>
      </c>
      <c r="H14" s="17" t="s">
        <v>17</v>
      </c>
      <c r="I14" s="17" t="s">
        <v>18</v>
      </c>
      <c r="J14" s="11" t="s">
        <v>19</v>
      </c>
      <c r="K14" s="11" t="s">
        <v>20</v>
      </c>
      <c r="L14" s="17" t="s">
        <v>78</v>
      </c>
      <c r="M14" s="17" t="s">
        <v>21</v>
      </c>
      <c r="N14" s="17" t="s">
        <v>40</v>
      </c>
      <c r="O14" s="11"/>
      <c r="P14" s="16" t="s">
        <v>44</v>
      </c>
      <c r="Q14" s="17"/>
      <c r="R14" s="16" t="s">
        <v>45</v>
      </c>
      <c r="S14" s="17"/>
      <c r="T14" s="113"/>
      <c r="U14" s="113"/>
      <c r="V14" s="11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2.75" customHeight="1">
      <c r="A15" s="257" t="s">
        <v>70</v>
      </c>
      <c r="B15" s="35"/>
      <c r="C15" s="35"/>
      <c r="D15" s="12"/>
      <c r="E15" s="268" t="s">
        <v>72</v>
      </c>
      <c r="F15" s="268" t="s">
        <v>71</v>
      </c>
      <c r="G15" s="268" t="s">
        <v>69</v>
      </c>
      <c r="H15" s="268" t="s">
        <v>178</v>
      </c>
      <c r="I15" s="268" t="s">
        <v>169</v>
      </c>
      <c r="J15" s="268" t="s">
        <v>155</v>
      </c>
      <c r="K15" s="268" t="s">
        <v>156</v>
      </c>
      <c r="L15" s="30"/>
      <c r="M15" s="35"/>
      <c r="N15" s="86" t="s">
        <v>25</v>
      </c>
      <c r="O15" s="260" t="s">
        <v>157</v>
      </c>
      <c r="P15" s="261"/>
      <c r="Q15" s="267" t="s">
        <v>159</v>
      </c>
      <c r="R15" s="261"/>
      <c r="S15" s="300" t="s">
        <v>160</v>
      </c>
      <c r="T15" s="301"/>
      <c r="U15" s="301"/>
      <c r="V15" s="281" t="s">
        <v>163</v>
      </c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2.75">
      <c r="A16" s="258"/>
      <c r="B16" s="30"/>
      <c r="C16" s="30"/>
      <c r="D16" s="12"/>
      <c r="E16" s="269"/>
      <c r="F16" s="269"/>
      <c r="G16" s="269"/>
      <c r="H16" s="269"/>
      <c r="I16" s="269"/>
      <c r="J16" s="269"/>
      <c r="K16" s="269"/>
      <c r="L16" s="31" t="s">
        <v>68</v>
      </c>
      <c r="M16" s="86" t="s">
        <v>30</v>
      </c>
      <c r="N16" s="36" t="s">
        <v>106</v>
      </c>
      <c r="O16" s="262"/>
      <c r="P16" s="263"/>
      <c r="Q16" s="262"/>
      <c r="R16" s="263"/>
      <c r="S16" s="301"/>
      <c r="T16" s="301"/>
      <c r="U16" s="301"/>
      <c r="V16" s="282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2.75" customHeight="1">
      <c r="A17" s="258"/>
      <c r="B17" s="31" t="s">
        <v>23</v>
      </c>
      <c r="C17" s="86" t="s">
        <v>24</v>
      </c>
      <c r="D17" s="87" t="s">
        <v>73</v>
      </c>
      <c r="E17" s="269"/>
      <c r="F17" s="269"/>
      <c r="G17" s="269"/>
      <c r="H17" s="269"/>
      <c r="I17" s="269"/>
      <c r="J17" s="269"/>
      <c r="K17" s="269"/>
      <c r="L17" s="31" t="s">
        <v>41</v>
      </c>
      <c r="M17" s="86" t="s">
        <v>39</v>
      </c>
      <c r="N17" s="88" t="s">
        <v>39</v>
      </c>
      <c r="O17" s="262"/>
      <c r="P17" s="263"/>
      <c r="Q17" s="262"/>
      <c r="R17" s="263"/>
      <c r="S17" s="168" t="s">
        <v>120</v>
      </c>
      <c r="T17" s="168" t="s">
        <v>130</v>
      </c>
      <c r="U17" s="168" t="s">
        <v>131</v>
      </c>
      <c r="V17" s="282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6.75" customHeight="1" hidden="1">
      <c r="A18" s="258"/>
      <c r="B18" s="31"/>
      <c r="C18" s="89" t="s">
        <v>31</v>
      </c>
      <c r="D18" s="86"/>
      <c r="E18" s="270"/>
      <c r="F18" s="270"/>
      <c r="G18" s="270"/>
      <c r="H18" s="270"/>
      <c r="I18" s="270"/>
      <c r="J18" s="270"/>
      <c r="K18" s="270"/>
      <c r="L18" s="91"/>
      <c r="M18" s="90"/>
      <c r="N18" s="86"/>
      <c r="O18" s="264"/>
      <c r="P18" s="263"/>
      <c r="Q18" s="264"/>
      <c r="R18" s="263"/>
      <c r="S18" s="173"/>
      <c r="T18" s="173"/>
      <c r="U18" s="173"/>
      <c r="V18" s="270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2.75" customHeight="1">
      <c r="A19" s="258"/>
      <c r="B19" s="31" t="s">
        <v>27</v>
      </c>
      <c r="C19" s="86" t="s">
        <v>28</v>
      </c>
      <c r="D19" s="87" t="s">
        <v>28</v>
      </c>
      <c r="E19" s="270"/>
      <c r="F19" s="270"/>
      <c r="G19" s="270"/>
      <c r="H19" s="270"/>
      <c r="I19" s="270"/>
      <c r="J19" s="270"/>
      <c r="K19" s="270"/>
      <c r="L19" s="278" t="s">
        <v>149</v>
      </c>
      <c r="M19" s="279" t="s">
        <v>151</v>
      </c>
      <c r="N19" s="278" t="s">
        <v>150</v>
      </c>
      <c r="O19" s="264"/>
      <c r="P19" s="263"/>
      <c r="Q19" s="264"/>
      <c r="R19" s="263"/>
      <c r="S19" s="173"/>
      <c r="T19" s="173"/>
      <c r="U19" s="173"/>
      <c r="V19" s="270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2.75" customHeight="1">
      <c r="A20" s="258"/>
      <c r="B20" s="92"/>
      <c r="C20" s="93"/>
      <c r="D20" s="94"/>
      <c r="E20" s="270"/>
      <c r="F20" s="270"/>
      <c r="G20" s="270"/>
      <c r="H20" s="270"/>
      <c r="I20" s="270"/>
      <c r="J20" s="270"/>
      <c r="K20" s="270"/>
      <c r="L20" s="270"/>
      <c r="M20" s="280"/>
      <c r="N20" s="298"/>
      <c r="O20" s="264"/>
      <c r="P20" s="263"/>
      <c r="Q20" s="264"/>
      <c r="R20" s="263"/>
      <c r="S20" s="173"/>
      <c r="T20" s="173"/>
      <c r="U20" s="173"/>
      <c r="V20" s="27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2.75" customHeight="1">
      <c r="A21" s="258"/>
      <c r="B21" s="92"/>
      <c r="C21" s="93"/>
      <c r="D21" s="94"/>
      <c r="E21" s="95"/>
      <c r="F21" s="96"/>
      <c r="G21" s="96"/>
      <c r="H21" s="97"/>
      <c r="I21" s="97"/>
      <c r="J21" s="98"/>
      <c r="K21" s="98"/>
      <c r="L21" s="270"/>
      <c r="M21" s="280"/>
      <c r="N21" s="298"/>
      <c r="O21" s="265"/>
      <c r="P21" s="266"/>
      <c r="Q21" s="265"/>
      <c r="R21" s="266"/>
      <c r="S21" s="173"/>
      <c r="T21" s="173"/>
      <c r="U21" s="173"/>
      <c r="V21" s="270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4.25" customHeight="1">
      <c r="A22" s="259"/>
      <c r="B22" s="92"/>
      <c r="C22" s="93"/>
      <c r="D22" s="99"/>
      <c r="E22" s="60"/>
      <c r="F22" s="100"/>
      <c r="G22" s="100"/>
      <c r="H22" s="68"/>
      <c r="I22" s="68"/>
      <c r="J22" s="101"/>
      <c r="K22" s="102"/>
      <c r="L22" s="98" t="s">
        <v>168</v>
      </c>
      <c r="M22" s="103"/>
      <c r="N22" s="299"/>
      <c r="O22" s="104" t="s">
        <v>33</v>
      </c>
      <c r="P22" s="129"/>
      <c r="Q22" s="106" t="s">
        <v>43</v>
      </c>
      <c r="R22" s="129"/>
      <c r="S22" s="167"/>
      <c r="T22" s="167"/>
      <c r="U22" s="167"/>
      <c r="V22" s="283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2.75" customHeight="1">
      <c r="A23" s="56"/>
      <c r="B23" s="63"/>
      <c r="C23" s="112"/>
      <c r="D23" s="112"/>
      <c r="E23" s="124"/>
      <c r="F23" s="59"/>
      <c r="G23" s="59"/>
      <c r="H23" s="125"/>
      <c r="I23" s="125"/>
      <c r="J23" s="58"/>
      <c r="K23" s="58"/>
      <c r="L23" s="58"/>
      <c r="M23" s="61"/>
      <c r="N23" s="61"/>
      <c r="O23" s="326"/>
      <c r="P23" s="176"/>
      <c r="Q23" s="326"/>
      <c r="R23" s="176"/>
      <c r="S23" s="110"/>
      <c r="T23" s="110"/>
      <c r="U23" s="110"/>
      <c r="V23" s="111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2.75" customHeight="1">
      <c r="A24" s="56"/>
      <c r="B24" s="63"/>
      <c r="C24" s="112"/>
      <c r="D24" s="112"/>
      <c r="E24" s="124"/>
      <c r="F24" s="59"/>
      <c r="G24" s="59"/>
      <c r="H24" s="125"/>
      <c r="I24" s="125"/>
      <c r="J24" s="58"/>
      <c r="K24" s="58"/>
      <c r="L24" s="58"/>
      <c r="M24" s="61"/>
      <c r="N24" s="61"/>
      <c r="O24" s="326"/>
      <c r="P24" s="176"/>
      <c r="Q24" s="326"/>
      <c r="R24" s="176"/>
      <c r="S24" s="110"/>
      <c r="T24" s="110"/>
      <c r="U24" s="110"/>
      <c r="V24" s="111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2.75" customHeight="1">
      <c r="A25" s="56"/>
      <c r="B25" s="63"/>
      <c r="C25" s="112"/>
      <c r="D25" s="112"/>
      <c r="E25" s="124"/>
      <c r="F25" s="59"/>
      <c r="G25" s="59"/>
      <c r="H25" s="125"/>
      <c r="I25" s="125"/>
      <c r="J25" s="58"/>
      <c r="K25" s="58"/>
      <c r="L25" s="58"/>
      <c r="M25" s="61"/>
      <c r="N25" s="61"/>
      <c r="O25" s="326"/>
      <c r="P25" s="176"/>
      <c r="Q25" s="326"/>
      <c r="R25" s="176"/>
      <c r="S25" s="110"/>
      <c r="T25" s="110"/>
      <c r="U25" s="110"/>
      <c r="V25" s="111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2.75" customHeight="1">
      <c r="A26" s="56"/>
      <c r="B26" s="63"/>
      <c r="C26" s="112"/>
      <c r="D26" s="112"/>
      <c r="E26" s="124"/>
      <c r="F26" s="59"/>
      <c r="G26" s="59"/>
      <c r="H26" s="125"/>
      <c r="I26" s="125"/>
      <c r="J26" s="58"/>
      <c r="K26" s="58"/>
      <c r="L26" s="58"/>
      <c r="M26" s="61"/>
      <c r="N26" s="61"/>
      <c r="O26" s="326"/>
      <c r="P26" s="176"/>
      <c r="Q26" s="326"/>
      <c r="R26" s="176"/>
      <c r="S26" s="110"/>
      <c r="T26" s="110"/>
      <c r="U26" s="110"/>
      <c r="V26" s="111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2.75" customHeight="1">
      <c r="A27" s="56"/>
      <c r="B27" s="63"/>
      <c r="C27" s="112"/>
      <c r="D27" s="112"/>
      <c r="E27" s="124"/>
      <c r="F27" s="59"/>
      <c r="G27" s="59"/>
      <c r="H27" s="125"/>
      <c r="I27" s="125"/>
      <c r="J27" s="58"/>
      <c r="K27" s="58"/>
      <c r="L27" s="58"/>
      <c r="M27" s="61"/>
      <c r="N27" s="61"/>
      <c r="O27" s="326"/>
      <c r="P27" s="176"/>
      <c r="Q27" s="326"/>
      <c r="R27" s="176"/>
      <c r="S27" s="110"/>
      <c r="T27" s="110"/>
      <c r="U27" s="110"/>
      <c r="V27" s="111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2.75" customHeight="1">
      <c r="A28" s="56"/>
      <c r="B28" s="63"/>
      <c r="C28" s="112"/>
      <c r="D28" s="112"/>
      <c r="E28" s="124"/>
      <c r="F28" s="59"/>
      <c r="G28" s="59"/>
      <c r="H28" s="125"/>
      <c r="I28" s="125"/>
      <c r="J28" s="58"/>
      <c r="K28" s="58"/>
      <c r="L28" s="58"/>
      <c r="M28" s="61"/>
      <c r="N28" s="61"/>
      <c r="O28" s="326"/>
      <c r="P28" s="176"/>
      <c r="Q28" s="326"/>
      <c r="R28" s="176"/>
      <c r="S28" s="110"/>
      <c r="T28" s="110"/>
      <c r="U28" s="110"/>
      <c r="V28" s="111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2.75" customHeight="1">
      <c r="A29" s="56"/>
      <c r="B29" s="63"/>
      <c r="C29" s="112"/>
      <c r="D29" s="112"/>
      <c r="E29" s="124"/>
      <c r="F29" s="59"/>
      <c r="G29" s="59"/>
      <c r="H29" s="125"/>
      <c r="I29" s="125"/>
      <c r="J29" s="58"/>
      <c r="K29" s="58"/>
      <c r="L29" s="58"/>
      <c r="M29" s="61"/>
      <c r="N29" s="61"/>
      <c r="O29" s="326"/>
      <c r="P29" s="176"/>
      <c r="Q29" s="326"/>
      <c r="R29" s="176"/>
      <c r="S29" s="110"/>
      <c r="T29" s="110"/>
      <c r="U29" s="110"/>
      <c r="V29" s="111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2.75" customHeight="1">
      <c r="A30" s="56"/>
      <c r="B30" s="63"/>
      <c r="C30" s="112"/>
      <c r="D30" s="112"/>
      <c r="E30" s="124"/>
      <c r="F30" s="59"/>
      <c r="G30" s="59"/>
      <c r="H30" s="125"/>
      <c r="I30" s="125"/>
      <c r="J30" s="58"/>
      <c r="K30" s="58"/>
      <c r="L30" s="58"/>
      <c r="M30" s="61"/>
      <c r="N30" s="61"/>
      <c r="O30" s="326"/>
      <c r="P30" s="176"/>
      <c r="Q30" s="326"/>
      <c r="R30" s="176"/>
      <c r="S30" s="110"/>
      <c r="T30" s="110"/>
      <c r="U30" s="110"/>
      <c r="V30" s="111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2.75" customHeight="1">
      <c r="A31" s="56"/>
      <c r="B31" s="63"/>
      <c r="C31" s="112"/>
      <c r="D31" s="112"/>
      <c r="E31" s="124"/>
      <c r="F31" s="59"/>
      <c r="G31" s="59"/>
      <c r="H31" s="125"/>
      <c r="I31" s="125"/>
      <c r="J31" s="58"/>
      <c r="K31" s="58"/>
      <c r="L31" s="58"/>
      <c r="M31" s="61"/>
      <c r="N31" s="61"/>
      <c r="O31" s="326"/>
      <c r="P31" s="176"/>
      <c r="Q31" s="326"/>
      <c r="R31" s="176"/>
      <c r="S31" s="110"/>
      <c r="T31" s="110"/>
      <c r="U31" s="110"/>
      <c r="V31" s="11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2.75" customHeight="1">
      <c r="A32" s="56"/>
      <c r="B32" s="63"/>
      <c r="C32" s="112"/>
      <c r="D32" s="112"/>
      <c r="E32" s="124"/>
      <c r="F32" s="59"/>
      <c r="G32" s="59"/>
      <c r="H32" s="125"/>
      <c r="I32" s="125"/>
      <c r="J32" s="58"/>
      <c r="K32" s="58"/>
      <c r="L32" s="58"/>
      <c r="M32" s="61"/>
      <c r="N32" s="61"/>
      <c r="O32" s="326"/>
      <c r="P32" s="176"/>
      <c r="Q32" s="326"/>
      <c r="R32" s="176"/>
      <c r="S32" s="110"/>
      <c r="T32" s="110"/>
      <c r="U32" s="110"/>
      <c r="V32" s="111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2.75" customHeight="1">
      <c r="A33" s="56"/>
      <c r="B33" s="63"/>
      <c r="C33" s="112"/>
      <c r="D33" s="112"/>
      <c r="E33" s="124"/>
      <c r="F33" s="59"/>
      <c r="G33" s="59"/>
      <c r="H33" s="125"/>
      <c r="I33" s="125"/>
      <c r="J33" s="58"/>
      <c r="K33" s="58"/>
      <c r="L33" s="58"/>
      <c r="M33" s="61"/>
      <c r="N33" s="61"/>
      <c r="O33" s="326"/>
      <c r="P33" s="176"/>
      <c r="Q33" s="326"/>
      <c r="R33" s="176"/>
      <c r="S33" s="110"/>
      <c r="T33" s="110"/>
      <c r="U33" s="110"/>
      <c r="V33" s="111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2.75" customHeight="1">
      <c r="A34" s="56"/>
      <c r="B34" s="63"/>
      <c r="C34" s="112"/>
      <c r="D34" s="112"/>
      <c r="E34" s="124"/>
      <c r="F34" s="59"/>
      <c r="G34" s="59"/>
      <c r="H34" s="125"/>
      <c r="I34" s="125"/>
      <c r="J34" s="58"/>
      <c r="K34" s="58"/>
      <c r="L34" s="58"/>
      <c r="M34" s="61"/>
      <c r="N34" s="61"/>
      <c r="O34" s="326"/>
      <c r="P34" s="176"/>
      <c r="Q34" s="326"/>
      <c r="R34" s="176"/>
      <c r="S34" s="110"/>
      <c r="T34" s="110"/>
      <c r="U34" s="110"/>
      <c r="V34" s="111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2.75" customHeight="1">
      <c r="A35" s="56"/>
      <c r="B35" s="63"/>
      <c r="C35" s="112"/>
      <c r="D35" s="112"/>
      <c r="E35" s="124"/>
      <c r="F35" s="59"/>
      <c r="G35" s="59"/>
      <c r="H35" s="125"/>
      <c r="I35" s="125"/>
      <c r="J35" s="58"/>
      <c r="K35" s="58"/>
      <c r="L35" s="58"/>
      <c r="M35" s="61"/>
      <c r="N35" s="61"/>
      <c r="O35" s="326"/>
      <c r="P35" s="176"/>
      <c r="Q35" s="326"/>
      <c r="R35" s="176"/>
      <c r="S35" s="110"/>
      <c r="T35" s="110"/>
      <c r="U35" s="110"/>
      <c r="V35" s="111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2.75" customHeight="1">
      <c r="A36" s="56"/>
      <c r="B36" s="63"/>
      <c r="C36" s="112"/>
      <c r="D36" s="112"/>
      <c r="E36" s="124"/>
      <c r="F36" s="59"/>
      <c r="G36" s="59"/>
      <c r="H36" s="125"/>
      <c r="I36" s="125"/>
      <c r="J36" s="58"/>
      <c r="K36" s="58"/>
      <c r="L36" s="58"/>
      <c r="M36" s="61"/>
      <c r="N36" s="61"/>
      <c r="O36" s="326"/>
      <c r="P36" s="176"/>
      <c r="Q36" s="326"/>
      <c r="R36" s="176"/>
      <c r="S36" s="110"/>
      <c r="T36" s="110"/>
      <c r="U36" s="110"/>
      <c r="V36" s="111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2.75" customHeight="1">
      <c r="A37" s="56"/>
      <c r="B37" s="63"/>
      <c r="C37" s="112"/>
      <c r="D37" s="112"/>
      <c r="E37" s="124"/>
      <c r="F37" s="59"/>
      <c r="G37" s="59"/>
      <c r="H37" s="125"/>
      <c r="I37" s="125"/>
      <c r="J37" s="58"/>
      <c r="K37" s="58"/>
      <c r="L37" s="58"/>
      <c r="M37" s="61"/>
      <c r="N37" s="61"/>
      <c r="O37" s="326"/>
      <c r="P37" s="176"/>
      <c r="Q37" s="326"/>
      <c r="R37" s="176"/>
      <c r="S37" s="110"/>
      <c r="T37" s="110"/>
      <c r="U37" s="110"/>
      <c r="V37" s="111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3.5" customHeight="1">
      <c r="A38" s="10"/>
      <c r="B38" s="10"/>
      <c r="C38" s="10"/>
      <c r="D38" s="10"/>
      <c r="E38" s="10"/>
      <c r="F38" s="10"/>
      <c r="G38" s="7" t="s">
        <v>34</v>
      </c>
      <c r="H38" s="126"/>
      <c r="I38" s="10"/>
      <c r="J38" s="295" t="s">
        <v>110</v>
      </c>
      <c r="K38" s="296"/>
      <c r="L38" s="296"/>
      <c r="M38" s="127"/>
      <c r="N38" s="128"/>
      <c r="O38" s="297" t="s">
        <v>166</v>
      </c>
      <c r="P38" s="228"/>
      <c r="Q38" s="228"/>
      <c r="R38" s="228"/>
      <c r="S38" s="229"/>
      <c r="T38" s="5"/>
      <c r="U38" s="5"/>
      <c r="V38" s="5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2.75" customHeight="1">
      <c r="A39" s="5"/>
      <c r="B39" s="10"/>
      <c r="C39" s="10"/>
      <c r="D39" s="10"/>
      <c r="E39" s="10"/>
      <c r="F39" s="10"/>
      <c r="G39" s="10"/>
      <c r="H39" s="10"/>
      <c r="I39" s="10"/>
      <c r="J39" s="10"/>
      <c r="K39" s="114"/>
      <c r="L39" s="115"/>
      <c r="M39" s="85"/>
      <c r="N39" s="85"/>
      <c r="O39" s="116"/>
      <c r="P39" s="117"/>
      <c r="Q39" s="117"/>
      <c r="R39" s="117"/>
      <c r="S39" s="5"/>
      <c r="T39" s="5"/>
      <c r="U39" s="5"/>
      <c r="V39" s="5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9.75" customHeight="1">
      <c r="A40" s="20"/>
      <c r="B40" s="20"/>
      <c r="C40" s="12"/>
      <c r="D40" s="21" t="s">
        <v>35</v>
      </c>
      <c r="E40" s="181"/>
      <c r="F40" s="181"/>
      <c r="G40" s="181"/>
      <c r="H40" s="181"/>
      <c r="I40" s="20"/>
      <c r="J40" s="21" t="s">
        <v>36</v>
      </c>
      <c r="K40" s="222"/>
      <c r="L40" s="223"/>
      <c r="M40" s="223"/>
      <c r="N40" s="223"/>
      <c r="O40" s="223"/>
      <c r="P40" s="223"/>
      <c r="Q40" s="223"/>
      <c r="R40" s="223"/>
      <c r="S40" s="34"/>
      <c r="T40" s="34"/>
      <c r="U40" s="34"/>
      <c r="V40" s="34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4.5" customHeight="1">
      <c r="A41" s="20"/>
      <c r="B41" s="20"/>
      <c r="C41" s="20"/>
      <c r="D41" s="20"/>
      <c r="E41" s="20"/>
      <c r="F41" s="20"/>
      <c r="G41" s="20"/>
      <c r="H41" s="20"/>
      <c r="I41" s="20"/>
      <c r="J41" s="21"/>
      <c r="K41" s="21"/>
      <c r="L41" s="21"/>
      <c r="M41" s="20"/>
      <c r="N41" s="20"/>
      <c r="O41" s="20"/>
      <c r="P41" s="20"/>
      <c r="Q41" s="20"/>
      <c r="R41" s="20"/>
      <c r="S41" s="12"/>
      <c r="T41" s="12"/>
      <c r="U41" s="12"/>
      <c r="V41" s="12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0.5" customHeight="1">
      <c r="A42" s="20"/>
      <c r="B42" s="20"/>
      <c r="C42" s="12"/>
      <c r="D42" s="21" t="s">
        <v>37</v>
      </c>
      <c r="E42" s="181"/>
      <c r="F42" s="181"/>
      <c r="G42" s="181"/>
      <c r="H42" s="181"/>
      <c r="I42" s="20"/>
      <c r="J42" s="21" t="s">
        <v>38</v>
      </c>
      <c r="K42" s="222"/>
      <c r="L42" s="223"/>
      <c r="M42" s="223"/>
      <c r="N42" s="223"/>
      <c r="O42" s="223"/>
      <c r="P42" s="223"/>
      <c r="Q42" s="223"/>
      <c r="R42" s="223"/>
      <c r="S42" s="36"/>
      <c r="T42" s="36"/>
      <c r="U42" s="36"/>
      <c r="V42" s="36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2.75">
      <c r="A43" s="12" t="s">
        <v>167</v>
      </c>
      <c r="B43" s="12"/>
      <c r="C43" s="12"/>
      <c r="D43" s="12"/>
      <c r="E43" s="12"/>
      <c r="F43" s="12"/>
      <c r="G43" s="12"/>
      <c r="H43" s="12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12"/>
      <c r="T43" s="12"/>
      <c r="U43" s="12"/>
      <c r="V43" s="12"/>
      <c r="W43" s="2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2.75">
      <c r="A44" s="12" t="s">
        <v>153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12"/>
      <c r="T44" s="12"/>
      <c r="U44" s="12"/>
      <c r="V44" s="12"/>
      <c r="W44" s="23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3" ht="12.75">
      <c r="A45" s="12" t="s">
        <v>158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/>
      <c r="Y45"/>
      <c r="Z45"/>
      <c r="AA45"/>
      <c r="AB45"/>
      <c r="AC45"/>
      <c r="AD45"/>
      <c r="AE45"/>
      <c r="AF45"/>
      <c r="AG45"/>
    </row>
    <row r="46" spans="1:33" ht="12.75">
      <c r="A46" s="12" t="s">
        <v>161</v>
      </c>
      <c r="B46" s="12"/>
      <c r="C46" s="12"/>
      <c r="D46" s="12"/>
      <c r="E46" s="12"/>
      <c r="F46" s="12"/>
      <c r="G46" s="12"/>
      <c r="H46" s="12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/>
      <c r="Y46"/>
      <c r="Z46"/>
      <c r="AA46"/>
      <c r="AB46"/>
      <c r="AC46"/>
      <c r="AD46"/>
      <c r="AE46"/>
      <c r="AF46"/>
      <c r="AG46"/>
    </row>
    <row r="47" spans="1:23" ht="12.75">
      <c r="A47" s="287" t="s">
        <v>184</v>
      </c>
      <c r="B47" s="287"/>
      <c r="C47" s="287"/>
      <c r="D47" s="287"/>
      <c r="E47" s="287"/>
      <c r="F47" s="287"/>
      <c r="G47" s="287"/>
      <c r="H47" s="287"/>
      <c r="I47" s="288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12"/>
    </row>
    <row r="48" spans="1:23" ht="12.75">
      <c r="A48" s="22" t="s">
        <v>164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318" t="s">
        <v>212</v>
      </c>
      <c r="Q48" s="318"/>
      <c r="R48" s="318"/>
      <c r="S48" s="318"/>
      <c r="T48" s="318"/>
      <c r="U48" s="318"/>
      <c r="V48" s="318"/>
      <c r="W48" s="12"/>
    </row>
    <row r="49" spans="1:23" ht="41.25" customHeight="1">
      <c r="A49" s="12"/>
      <c r="B49" s="12"/>
      <c r="C49" s="12"/>
      <c r="D49" s="12"/>
      <c r="E49" s="12"/>
      <c r="F49" s="12"/>
      <c r="G49" s="12"/>
      <c r="H49" s="12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2"/>
    </row>
    <row r="50" spans="1:23" ht="12.75">
      <c r="A50" s="1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12"/>
    </row>
    <row r="51" spans="1:23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12"/>
    </row>
    <row r="52" spans="1:23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12"/>
    </row>
    <row r="53" spans="1:23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12"/>
    </row>
    <row r="54" spans="1:23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12"/>
    </row>
    <row r="55" spans="1:23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12"/>
    </row>
    <row r="56" spans="1:23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12"/>
    </row>
    <row r="57" spans="1:23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12"/>
    </row>
    <row r="58" spans="1:23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12"/>
    </row>
    <row r="59" spans="1:22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2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2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2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2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1:22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1:22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1:22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1:22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1:22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1:22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1:22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1:22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1:22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1:22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2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 ht="12.75" hidden="1">
      <c r="A101">
        <f aca="true" t="shared" si="0" ref="A101:A115">IF(E23&lt;0,1440,0)</f>
        <v>0</v>
      </c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2" ht="12.75" hidden="1">
      <c r="A102">
        <f t="shared" si="0"/>
        <v>0</v>
      </c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2" ht="12.75" hidden="1">
      <c r="A103">
        <f t="shared" si="0"/>
        <v>0</v>
      </c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22" ht="12.75" hidden="1">
      <c r="A104">
        <f t="shared" si="0"/>
        <v>0</v>
      </c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1:22" ht="12.75" hidden="1">
      <c r="A105">
        <f t="shared" si="0"/>
        <v>0</v>
      </c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1:22" ht="12.75" hidden="1">
      <c r="A106">
        <f t="shared" si="0"/>
        <v>0</v>
      </c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1:22" ht="12.75" hidden="1">
      <c r="A107">
        <f t="shared" si="0"/>
        <v>0</v>
      </c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1:22" ht="12.75" hidden="1">
      <c r="A108">
        <f t="shared" si="0"/>
        <v>0</v>
      </c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1:22" ht="12.75" hidden="1">
      <c r="A109">
        <f t="shared" si="0"/>
        <v>0</v>
      </c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1:22" ht="12.75" hidden="1">
      <c r="A110">
        <f t="shared" si="0"/>
        <v>0</v>
      </c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1:22" ht="12.75" hidden="1">
      <c r="A111">
        <f t="shared" si="0"/>
        <v>0</v>
      </c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1:22" ht="12.75" hidden="1">
      <c r="A112">
        <f t="shared" si="0"/>
        <v>0</v>
      </c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1:22" ht="12.75" hidden="1">
      <c r="A113">
        <f t="shared" si="0"/>
        <v>0</v>
      </c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1:22" ht="12.75" hidden="1">
      <c r="A114">
        <f t="shared" si="0"/>
        <v>0</v>
      </c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1:22" ht="12.75" hidden="1">
      <c r="A115">
        <f t="shared" si="0"/>
        <v>0</v>
      </c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1:22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1:22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1:22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1:22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1:22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1:22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1:22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1:22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1:22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1:22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1:22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1:22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1:22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1:22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1:22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1:22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1:22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1:22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spans="1:22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spans="1:22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1:22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1:22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1:22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1:22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spans="1:22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spans="1:22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spans="1:22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1:22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1:22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1:22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1:22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1:22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</sheetData>
  <sheetProtection password="C903" sheet="1" objects="1" scenarios="1"/>
  <mergeCells count="74">
    <mergeCell ref="P48:V48"/>
    <mergeCell ref="L5:M5"/>
    <mergeCell ref="N12:Q13"/>
    <mergeCell ref="R12:V13"/>
    <mergeCell ref="R5:S5"/>
    <mergeCell ref="N7:Q7"/>
    <mergeCell ref="K7:M7"/>
    <mergeCell ref="K8:M9"/>
    <mergeCell ref="K10:M10"/>
    <mergeCell ref="R9:S9"/>
    <mergeCell ref="Q35:R35"/>
    <mergeCell ref="Q36:R36"/>
    <mergeCell ref="Q37:R37"/>
    <mergeCell ref="O34:P34"/>
    <mergeCell ref="O35:P35"/>
    <mergeCell ref="O36:P36"/>
    <mergeCell ref="O37:P37"/>
    <mergeCell ref="A15:A22"/>
    <mergeCell ref="O15:P21"/>
    <mergeCell ref="Q15:R21"/>
    <mergeCell ref="O23:P23"/>
    <mergeCell ref="Q23:R23"/>
    <mergeCell ref="F15:F20"/>
    <mergeCell ref="E15:E20"/>
    <mergeCell ref="K15:K20"/>
    <mergeCell ref="O31:P31"/>
    <mergeCell ref="Q33:R33"/>
    <mergeCell ref="Q34:R34"/>
    <mergeCell ref="Q30:R30"/>
    <mergeCell ref="Q31:R31"/>
    <mergeCell ref="O33:P33"/>
    <mergeCell ref="O32:P32"/>
    <mergeCell ref="O30:P30"/>
    <mergeCell ref="E40:H40"/>
    <mergeCell ref="E42:H42"/>
    <mergeCell ref="K42:R42"/>
    <mergeCell ref="K40:R40"/>
    <mergeCell ref="O26:P26"/>
    <mergeCell ref="O25:P25"/>
    <mergeCell ref="Q29:R29"/>
    <mergeCell ref="Q27:R27"/>
    <mergeCell ref="Q28:R28"/>
    <mergeCell ref="Q25:R25"/>
    <mergeCell ref="Q26:R26"/>
    <mergeCell ref="Q24:R24"/>
    <mergeCell ref="E6:G6"/>
    <mergeCell ref="E7:G7"/>
    <mergeCell ref="E8:G9"/>
    <mergeCell ref="E10:G10"/>
    <mergeCell ref="O24:P24"/>
    <mergeCell ref="R11:V11"/>
    <mergeCell ref="H11:K11"/>
    <mergeCell ref="V15:V22"/>
    <mergeCell ref="N9:Q9"/>
    <mergeCell ref="O38:S38"/>
    <mergeCell ref="N19:N22"/>
    <mergeCell ref="S15:U16"/>
    <mergeCell ref="S17:S22"/>
    <mergeCell ref="T17:T22"/>
    <mergeCell ref="U17:U22"/>
    <mergeCell ref="Q32:R32"/>
    <mergeCell ref="O27:P27"/>
    <mergeCell ref="O28:P28"/>
    <mergeCell ref="O29:P29"/>
    <mergeCell ref="A47:I47"/>
    <mergeCell ref="K12:M13"/>
    <mergeCell ref="J38:L38"/>
    <mergeCell ref="E12:G13"/>
    <mergeCell ref="L19:L21"/>
    <mergeCell ref="M19:M21"/>
    <mergeCell ref="G15:G20"/>
    <mergeCell ref="H15:H20"/>
    <mergeCell ref="I15:I20"/>
    <mergeCell ref="J15:J20"/>
  </mergeCells>
  <dataValidations count="7">
    <dataValidation type="date" showInputMessage="1" showErrorMessage="1" prompt="Enter date in following format:&#10;mm/dd/yr&#10;Example: 04/13/06" error="Enter date in following format:&#10;mm/dd/yr&#10;Example: 04/13/06" sqref="B20:B22">
      <formula1>36412</formula1>
      <formula2>65998</formula2>
    </dataValidation>
    <dataValidation type="time" showInputMessage="1" showErrorMessage="1" prompt="When entering time use the following format:&#10;Hour:Minute (space) am or pm&#10;hh:mm am/pm&#10;Example:  2:00 pm" error="When entering time use the following format:&#10;Hour:Minute (space) am or pm&#10;hh:mm am/pm&#10;Example: 2:00 pm" sqref="C20:D37">
      <formula1>0</formula1>
      <formula2>0.9993055555555556</formula2>
    </dataValidation>
    <dataValidation type="custom" allowBlank="1" showInputMessage="1" showErrorMessage="1" error="If a single irrigation event occurs over two different days click the &quot;Cancel&quot; button below and then press the &quot;Ctrl and a&quot; keys simultaneously to calculate the total minutes irrigated." sqref="F21:F22">
      <formula1>E21&gt;0</formula1>
    </dataValidation>
    <dataValidation type="textLength" operator="greaterThan" allowBlank="1" showInputMessage="1" showErrorMessage="1" prompt="Enter initials indicating that irrigation inspections have been completed." error="Enter initials to indicate that irrigation inspections were completed." sqref="V23:V37">
      <formula1>1</formula1>
    </dataValidation>
    <dataValidation allowBlank="1" showInputMessage="1" showErrorMessage="1" error="If a single irrigation event occurs over two different days click the &quot;Cancel&quot; button below and then press the &quot;Ctrl and a&quot; keys simultaneously to calculate the total minutes irrigated." sqref="F23:F37"/>
    <dataValidation type="list" showInputMessage="1" showErrorMessage="1" prompt="Select weather code from the drop list.&#10;c    Clear&#10;pc  Partly Cloudy&#10;cl   Cloudy&#10;r    Rain&#10;s    Snow/Sleet&#10;w   Windy&#10;" error="Enter weather code as shown below.&#10;c&#10;pc&#10;cl&#10;r&#10;s&#10;w" sqref="S23:U37">
      <formula1>"c,pc,cl,r,s,w"</formula1>
    </dataValidation>
    <dataValidation type="date" showInputMessage="1" showErrorMessage="1" prompt="Enter date in following format:&#10;mm/dd/yr&#10;Example: 4/13/06" error="Enter date in following format:&#10;mm/dd/yr&#10;Example: 04/13/06" sqref="B23:B37">
      <formula1>38969</formula1>
      <formula2>109210</formula2>
    </dataValidation>
  </dataValidations>
  <printOptions/>
  <pageMargins left="0.1" right="0.1" top="0.25" bottom="0.17" header="0.5" footer="0.17"/>
  <pageSetup horizontalDpi="1200" verticalDpi="1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N143"/>
  <sheetViews>
    <sheetView showGridLines="0" workbookViewId="0" topLeftCell="A1">
      <selection activeCell="A71" sqref="A71"/>
    </sheetView>
  </sheetViews>
  <sheetFormatPr defaultColWidth="9.140625" defaultRowHeight="12.75"/>
  <cols>
    <col min="1" max="1" width="0.9921875" style="1" customWidth="1"/>
    <col min="2" max="2" width="5.421875" style="1" customWidth="1"/>
    <col min="3" max="3" width="8.28125" style="1" customWidth="1"/>
    <col min="4" max="4" width="6.8515625" style="1" customWidth="1"/>
    <col min="5" max="5" width="8.140625" style="1" customWidth="1"/>
    <col min="6" max="6" width="8.421875" style="1" customWidth="1"/>
    <col min="7" max="7" width="9.57421875" style="1" customWidth="1"/>
    <col min="8" max="8" width="7.7109375" style="1" customWidth="1"/>
    <col min="9" max="9" width="7.28125" style="1" customWidth="1"/>
    <col min="10" max="10" width="8.57421875" style="1" customWidth="1"/>
    <col min="11" max="11" width="8.28125" style="1" customWidth="1"/>
    <col min="12" max="12" width="4.8515625" style="1" customWidth="1"/>
    <col min="13" max="14" width="7.00390625" style="1" customWidth="1"/>
    <col min="15" max="15" width="6.8515625" style="1" customWidth="1"/>
    <col min="16" max="16" width="3.28125" style="1" customWidth="1"/>
    <col min="17" max="17" width="6.421875" style="1" customWidth="1"/>
    <col min="18" max="18" width="3.140625" style="1" customWidth="1"/>
    <col min="19" max="19" width="7.28125" style="1" customWidth="1"/>
    <col min="20" max="20" width="3.421875" style="1" customWidth="1"/>
    <col min="21" max="22" width="3.28125" style="1" customWidth="1"/>
    <col min="23" max="23" width="6.421875" style="42" customWidth="1"/>
    <col min="24" max="24" width="7.28125" style="42" customWidth="1"/>
    <col min="25" max="25" width="8.421875" style="42" customWidth="1"/>
    <col min="26" max="16384" width="9.140625" style="42" customWidth="1"/>
  </cols>
  <sheetData>
    <row r="1" spans="1:40" ht="12.75">
      <c r="A1" s="12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40" ht="13.5">
      <c r="A2" s="12"/>
      <c r="B2" s="3" t="s">
        <v>205</v>
      </c>
      <c r="C2" s="3"/>
      <c r="D2" s="3"/>
      <c r="E2" s="3"/>
      <c r="F2" s="12"/>
      <c r="G2" s="42"/>
      <c r="H2" s="5" t="s">
        <v>180</v>
      </c>
      <c r="I2" s="12"/>
      <c r="J2" s="1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1:40" ht="12.75">
      <c r="A3" s="12"/>
      <c r="B3" s="5"/>
      <c r="C3" s="5"/>
      <c r="D3" s="4"/>
      <c r="E3" s="4"/>
      <c r="F3" s="5"/>
      <c r="G3" s="42"/>
      <c r="H3" s="5" t="s">
        <v>181</v>
      </c>
      <c r="I3" s="12"/>
      <c r="J3" s="12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1:40" ht="12.75">
      <c r="A4" s="1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</row>
    <row r="5" spans="1:40" ht="12.75">
      <c r="A5" s="12"/>
      <c r="B5" s="5"/>
      <c r="C5" s="5"/>
      <c r="D5" s="7" t="s">
        <v>90</v>
      </c>
      <c r="E5" s="6"/>
      <c r="F5" s="18" t="s">
        <v>1</v>
      </c>
      <c r="G5" s="6"/>
      <c r="H5" s="28"/>
      <c r="I5" s="28"/>
      <c r="J5" s="28"/>
      <c r="K5" s="163" t="s">
        <v>2</v>
      </c>
      <c r="L5" s="164"/>
      <c r="M5" s="165"/>
      <c r="N5" s="165"/>
      <c r="O5" s="13"/>
      <c r="P5" s="12"/>
      <c r="Q5" s="12"/>
      <c r="R5" s="12"/>
      <c r="S5" s="12"/>
      <c r="T5" s="325"/>
      <c r="U5" s="325"/>
      <c r="V5" s="28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</row>
    <row r="6" spans="1:40" ht="12.75">
      <c r="A6" s="12"/>
      <c r="B6" s="42"/>
      <c r="C6" s="5"/>
      <c r="D6" s="7" t="s">
        <v>142</v>
      </c>
      <c r="E6" s="230"/>
      <c r="F6" s="231"/>
      <c r="G6" s="232"/>
      <c r="H6" s="28"/>
      <c r="I6" s="28"/>
      <c r="J6" s="28"/>
      <c r="K6" s="28"/>
      <c r="L6" s="28"/>
      <c r="M6" s="28"/>
      <c r="N6" s="28"/>
      <c r="O6" s="28"/>
      <c r="P6" s="28"/>
      <c r="Q6" s="236"/>
      <c r="R6" s="236"/>
      <c r="S6" s="236"/>
      <c r="T6" s="28"/>
      <c r="U6" s="28"/>
      <c r="V6" s="28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12.75" customHeight="1">
      <c r="A7" s="12"/>
      <c r="B7" s="5"/>
      <c r="C7" s="7"/>
      <c r="D7" s="7" t="s">
        <v>3</v>
      </c>
      <c r="E7" s="160"/>
      <c r="F7" s="154"/>
      <c r="G7" s="211"/>
      <c r="H7" s="7"/>
      <c r="I7" s="7"/>
      <c r="J7" s="7" t="s">
        <v>50</v>
      </c>
      <c r="K7" s="160"/>
      <c r="L7" s="154"/>
      <c r="M7" s="200"/>
      <c r="N7" s="201"/>
      <c r="O7" s="13"/>
      <c r="P7" s="13" t="s">
        <v>86</v>
      </c>
      <c r="Q7" s="13"/>
      <c r="R7" s="13"/>
      <c r="S7" s="165"/>
      <c r="T7" s="165"/>
      <c r="U7" s="13"/>
      <c r="V7" s="28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</row>
    <row r="8" spans="1:40" ht="12.75">
      <c r="A8" s="12"/>
      <c r="B8" s="5"/>
      <c r="C8" s="7"/>
      <c r="D8" s="7" t="s">
        <v>5</v>
      </c>
      <c r="E8" s="202"/>
      <c r="F8" s="203"/>
      <c r="G8" s="212"/>
      <c r="H8" s="15"/>
      <c r="I8" s="15"/>
      <c r="J8" s="7" t="s">
        <v>51</v>
      </c>
      <c r="K8" s="202"/>
      <c r="L8" s="203"/>
      <c r="M8" s="204"/>
      <c r="N8" s="205"/>
      <c r="O8" s="123" t="s">
        <v>195</v>
      </c>
      <c r="P8" s="12"/>
      <c r="Q8" s="12"/>
      <c r="R8" s="12"/>
      <c r="S8" s="12"/>
      <c r="T8" s="12"/>
      <c r="U8" s="12"/>
      <c r="V8" s="28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</row>
    <row r="9" spans="1:40" ht="12.75">
      <c r="A9" s="12"/>
      <c r="B9" s="5"/>
      <c r="C9" s="5"/>
      <c r="D9" s="7"/>
      <c r="E9" s="213"/>
      <c r="F9" s="214"/>
      <c r="G9" s="215"/>
      <c r="H9" s="28"/>
      <c r="I9" s="28"/>
      <c r="J9" s="7" t="s">
        <v>46</v>
      </c>
      <c r="K9" s="206"/>
      <c r="L9" s="207"/>
      <c r="M9" s="207"/>
      <c r="N9" s="208"/>
      <c r="O9" s="14"/>
      <c r="P9" s="13" t="s">
        <v>89</v>
      </c>
      <c r="Q9" s="12"/>
      <c r="R9" s="14"/>
      <c r="S9" s="237"/>
      <c r="T9" s="237"/>
      <c r="U9" s="14"/>
      <c r="V9" s="28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</row>
    <row r="10" spans="1:40" ht="12.75" customHeight="1">
      <c r="A10" s="12"/>
      <c r="B10" s="5"/>
      <c r="C10" s="7"/>
      <c r="D10" s="7" t="s">
        <v>7</v>
      </c>
      <c r="E10" s="160"/>
      <c r="F10" s="154"/>
      <c r="G10" s="211"/>
      <c r="H10" s="28"/>
      <c r="I10" s="28"/>
      <c r="J10" s="7" t="s">
        <v>47</v>
      </c>
      <c r="K10" s="160"/>
      <c r="L10" s="154"/>
      <c r="M10" s="200"/>
      <c r="N10" s="201"/>
      <c r="O10" s="141" t="s">
        <v>194</v>
      </c>
      <c r="P10" s="12"/>
      <c r="Q10" s="13"/>
      <c r="R10" s="12"/>
      <c r="S10" s="12"/>
      <c r="T10" s="12"/>
      <c r="U10" s="12"/>
      <c r="V10" s="12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</row>
    <row r="11" spans="1:40" ht="12.75" customHeight="1">
      <c r="A11" s="12"/>
      <c r="B11" s="5"/>
      <c r="C11" s="5"/>
      <c r="D11" s="7"/>
      <c r="E11" s="4"/>
      <c r="F11" s="4"/>
      <c r="G11" s="42"/>
      <c r="H11" s="25" t="s">
        <v>67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19"/>
      <c r="T11" s="19"/>
      <c r="U11" s="19"/>
      <c r="V11" s="19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</row>
    <row r="12" spans="1:40" ht="16.5" customHeight="1">
      <c r="A12" s="12"/>
      <c r="B12" s="5"/>
      <c r="C12" s="5"/>
      <c r="D12" s="7" t="s">
        <v>8</v>
      </c>
      <c r="E12" s="216"/>
      <c r="F12" s="216"/>
      <c r="G12" s="216"/>
      <c r="H12" s="28"/>
      <c r="I12" s="28"/>
      <c r="J12" s="7" t="s">
        <v>9</v>
      </c>
      <c r="K12" s="308"/>
      <c r="L12" s="309"/>
      <c r="M12" s="309"/>
      <c r="N12" s="310"/>
      <c r="O12" s="306" t="s">
        <v>87</v>
      </c>
      <c r="P12" s="166"/>
      <c r="Q12" s="166"/>
      <c r="R12" s="307"/>
      <c r="S12" s="324"/>
      <c r="T12" s="324"/>
      <c r="U12" s="324"/>
      <c r="V12" s="333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</row>
    <row r="13" spans="1:40" ht="12.75" customHeight="1">
      <c r="A13" s="12"/>
      <c r="B13" s="5"/>
      <c r="C13" s="5"/>
      <c r="D13" s="5"/>
      <c r="E13" s="216"/>
      <c r="F13" s="216"/>
      <c r="G13" s="216"/>
      <c r="H13" s="28"/>
      <c r="I13" s="28"/>
      <c r="J13" s="7" t="s">
        <v>10</v>
      </c>
      <c r="K13" s="311"/>
      <c r="L13" s="312"/>
      <c r="M13" s="312"/>
      <c r="N13" s="313"/>
      <c r="O13" s="306"/>
      <c r="P13" s="166"/>
      <c r="Q13" s="166"/>
      <c r="R13" s="307"/>
      <c r="S13" s="324"/>
      <c r="T13" s="324"/>
      <c r="U13" s="324"/>
      <c r="V13" s="333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</row>
    <row r="14" spans="1:40" s="151" customFormat="1" ht="12.75">
      <c r="A14" s="20"/>
      <c r="B14" s="10"/>
      <c r="C14" s="17" t="s">
        <v>11</v>
      </c>
      <c r="D14" s="17" t="s">
        <v>12</v>
      </c>
      <c r="E14" s="17" t="s">
        <v>13</v>
      </c>
      <c r="F14" s="17" t="s">
        <v>14</v>
      </c>
      <c r="G14" s="17" t="s">
        <v>15</v>
      </c>
      <c r="H14" s="17" t="s">
        <v>16</v>
      </c>
      <c r="I14" s="17" t="s">
        <v>17</v>
      </c>
      <c r="J14" s="17" t="s">
        <v>18</v>
      </c>
      <c r="K14" s="17" t="s">
        <v>19</v>
      </c>
      <c r="L14" s="17" t="s">
        <v>20</v>
      </c>
      <c r="M14" s="17" t="s">
        <v>21</v>
      </c>
      <c r="N14" s="17" t="s">
        <v>40</v>
      </c>
      <c r="O14" s="17" t="s">
        <v>44</v>
      </c>
      <c r="P14" s="17"/>
      <c r="Q14" s="16" t="s">
        <v>45</v>
      </c>
      <c r="R14" s="11"/>
      <c r="S14" s="49" t="s">
        <v>93</v>
      </c>
      <c r="T14" s="11"/>
      <c r="U14" s="65" t="s">
        <v>31</v>
      </c>
      <c r="V14" s="23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</row>
    <row r="15" spans="1:40" ht="12.75" customHeight="1">
      <c r="A15" s="12"/>
      <c r="B15" s="78"/>
      <c r="C15" s="41"/>
      <c r="D15" s="41"/>
      <c r="E15" s="41"/>
      <c r="F15" s="41"/>
      <c r="G15" s="43"/>
      <c r="H15" s="41"/>
      <c r="I15" s="41"/>
      <c r="J15" s="41"/>
      <c r="K15" s="52"/>
      <c r="L15" s="233" t="s">
        <v>138</v>
      </c>
      <c r="M15" s="43" t="s">
        <v>68</v>
      </c>
      <c r="N15" s="52"/>
      <c r="O15" s="43" t="s">
        <v>25</v>
      </c>
      <c r="P15" s="191" t="s">
        <v>183</v>
      </c>
      <c r="Q15" s="192"/>
      <c r="R15" s="191" t="s">
        <v>176</v>
      </c>
      <c r="S15" s="192"/>
      <c r="T15" s="319" t="s">
        <v>140</v>
      </c>
      <c r="U15" s="320"/>
      <c r="V15" s="321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</row>
    <row r="16" spans="1:40" ht="13.5" customHeight="1">
      <c r="A16" s="12"/>
      <c r="B16" s="43"/>
      <c r="C16" s="43"/>
      <c r="D16" s="41"/>
      <c r="E16" s="42"/>
      <c r="F16" s="43" t="s">
        <v>25</v>
      </c>
      <c r="G16" s="43" t="s">
        <v>58</v>
      </c>
      <c r="H16" s="41"/>
      <c r="I16" s="42"/>
      <c r="J16" s="43" t="s">
        <v>41</v>
      </c>
      <c r="K16" s="43" t="s">
        <v>41</v>
      </c>
      <c r="L16" s="234"/>
      <c r="M16" s="43" t="s">
        <v>41</v>
      </c>
      <c r="N16" s="43" t="s">
        <v>30</v>
      </c>
      <c r="O16" s="53" t="s">
        <v>106</v>
      </c>
      <c r="P16" s="193"/>
      <c r="Q16" s="194"/>
      <c r="R16" s="193"/>
      <c r="S16" s="194"/>
      <c r="T16" s="320"/>
      <c r="U16" s="320"/>
      <c r="V16" s="321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</row>
    <row r="17" spans="1:40" ht="12.75">
      <c r="A17" s="12"/>
      <c r="B17" s="43" t="s">
        <v>95</v>
      </c>
      <c r="C17" s="43" t="s">
        <v>23</v>
      </c>
      <c r="D17" s="43" t="s">
        <v>53</v>
      </c>
      <c r="E17" s="43" t="s">
        <v>56</v>
      </c>
      <c r="F17" s="43" t="s">
        <v>22</v>
      </c>
      <c r="G17" s="43" t="s">
        <v>59</v>
      </c>
      <c r="H17" s="43" t="s">
        <v>62</v>
      </c>
      <c r="I17" s="43" t="s">
        <v>85</v>
      </c>
      <c r="J17" s="43" t="s">
        <v>42</v>
      </c>
      <c r="K17" s="43" t="s">
        <v>42</v>
      </c>
      <c r="L17" s="234"/>
      <c r="M17" s="217" t="s">
        <v>132</v>
      </c>
      <c r="N17" s="43" t="s">
        <v>39</v>
      </c>
      <c r="O17" s="53" t="s">
        <v>39</v>
      </c>
      <c r="P17" s="193"/>
      <c r="Q17" s="194"/>
      <c r="R17" s="193"/>
      <c r="S17" s="194"/>
      <c r="T17" s="322" t="s">
        <v>120</v>
      </c>
      <c r="U17" s="322" t="s">
        <v>130</v>
      </c>
      <c r="V17" s="168" t="s">
        <v>131</v>
      </c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</row>
    <row r="18" spans="1:40" ht="14.25" customHeight="1">
      <c r="A18" s="12"/>
      <c r="B18" s="43" t="s">
        <v>96</v>
      </c>
      <c r="C18" s="43" t="s">
        <v>27</v>
      </c>
      <c r="D18" s="43" t="s">
        <v>54</v>
      </c>
      <c r="E18" s="43" t="s">
        <v>134</v>
      </c>
      <c r="F18" s="43" t="s">
        <v>29</v>
      </c>
      <c r="G18" s="43" t="s">
        <v>60</v>
      </c>
      <c r="H18" s="43" t="s">
        <v>135</v>
      </c>
      <c r="I18" s="43" t="s">
        <v>136</v>
      </c>
      <c r="J18" s="43" t="s">
        <v>137</v>
      </c>
      <c r="K18" s="43" t="s">
        <v>145</v>
      </c>
      <c r="L18" s="234"/>
      <c r="M18" s="316"/>
      <c r="N18" s="43" t="s">
        <v>26</v>
      </c>
      <c r="O18" s="53" t="s">
        <v>26</v>
      </c>
      <c r="P18" s="193"/>
      <c r="Q18" s="194"/>
      <c r="R18" s="193"/>
      <c r="S18" s="194"/>
      <c r="T18" s="323"/>
      <c r="U18" s="323"/>
      <c r="V18" s="169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</row>
    <row r="19" spans="1:40" ht="13.5" customHeight="1">
      <c r="A19" s="12"/>
      <c r="B19" s="79"/>
      <c r="C19" s="43"/>
      <c r="D19" s="43" t="s">
        <v>55</v>
      </c>
      <c r="E19" s="43" t="s">
        <v>29</v>
      </c>
      <c r="F19" s="43" t="s">
        <v>57</v>
      </c>
      <c r="G19" s="43" t="s">
        <v>61</v>
      </c>
      <c r="H19" s="41"/>
      <c r="I19" s="42"/>
      <c r="J19" s="43" t="s">
        <v>32</v>
      </c>
      <c r="K19" s="43" t="s">
        <v>32</v>
      </c>
      <c r="L19" s="234"/>
      <c r="M19" s="316"/>
      <c r="N19" s="80" t="s">
        <v>64</v>
      </c>
      <c r="O19" s="81" t="s">
        <v>94</v>
      </c>
      <c r="P19" s="195"/>
      <c r="Q19" s="196"/>
      <c r="R19" s="195"/>
      <c r="S19" s="196"/>
      <c r="T19" s="323"/>
      <c r="U19" s="323"/>
      <c r="V19" s="169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</row>
    <row r="20" spans="1:40" ht="12.75" customHeight="1">
      <c r="A20" s="12"/>
      <c r="B20" s="55"/>
      <c r="C20" s="55"/>
      <c r="D20" s="82" t="s">
        <v>31</v>
      </c>
      <c r="E20" s="55"/>
      <c r="F20" s="47"/>
      <c r="G20" s="47"/>
      <c r="H20" s="54"/>
      <c r="I20" s="54"/>
      <c r="J20" s="55"/>
      <c r="K20" s="55"/>
      <c r="L20" s="235"/>
      <c r="M20" s="317"/>
      <c r="N20" s="54">
        <v>1000</v>
      </c>
      <c r="O20" s="55">
        <v>1000</v>
      </c>
      <c r="P20" s="83" t="s">
        <v>33</v>
      </c>
      <c r="Q20" s="132"/>
      <c r="R20" s="83" t="s">
        <v>43</v>
      </c>
      <c r="S20" s="132"/>
      <c r="T20" s="323"/>
      <c r="U20" s="323"/>
      <c r="V20" s="162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</row>
    <row r="21" spans="1:40" ht="12.75" customHeight="1">
      <c r="A21" s="12"/>
      <c r="B21" s="56"/>
      <c r="C21" s="63"/>
      <c r="D21" s="58"/>
      <c r="E21" s="59"/>
      <c r="F21" s="130"/>
      <c r="G21" s="130"/>
      <c r="H21" s="59"/>
      <c r="I21" s="59"/>
      <c r="J21" s="61"/>
      <c r="K21" s="61"/>
      <c r="L21" s="61"/>
      <c r="M21" s="61"/>
      <c r="N21" s="131"/>
      <c r="O21" s="131"/>
      <c r="P21" s="326"/>
      <c r="Q21" s="332"/>
      <c r="R21" s="326"/>
      <c r="S21" s="332"/>
      <c r="T21" s="61"/>
      <c r="U21" s="84"/>
      <c r="V21" s="61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</row>
    <row r="22" spans="1:40" ht="12.75" customHeight="1">
      <c r="A22" s="12"/>
      <c r="B22" s="56"/>
      <c r="C22" s="57"/>
      <c r="D22" s="58"/>
      <c r="E22" s="59"/>
      <c r="F22" s="130"/>
      <c r="G22" s="130"/>
      <c r="H22" s="59"/>
      <c r="I22" s="59"/>
      <c r="J22" s="61"/>
      <c r="K22" s="61"/>
      <c r="L22" s="61"/>
      <c r="M22" s="61"/>
      <c r="N22" s="131"/>
      <c r="O22" s="131"/>
      <c r="P22" s="326"/>
      <c r="Q22" s="332"/>
      <c r="R22" s="326"/>
      <c r="S22" s="332"/>
      <c r="T22" s="61"/>
      <c r="U22" s="84"/>
      <c r="V22" s="61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</row>
    <row r="23" spans="1:40" ht="12.75" customHeight="1">
      <c r="A23" s="12"/>
      <c r="B23" s="56"/>
      <c r="C23" s="57"/>
      <c r="D23" s="58"/>
      <c r="E23" s="59"/>
      <c r="F23" s="130"/>
      <c r="G23" s="130"/>
      <c r="H23" s="59"/>
      <c r="I23" s="59"/>
      <c r="J23" s="61"/>
      <c r="K23" s="61"/>
      <c r="L23" s="61"/>
      <c r="M23" s="61"/>
      <c r="N23" s="131"/>
      <c r="O23" s="131"/>
      <c r="P23" s="326"/>
      <c r="Q23" s="332"/>
      <c r="R23" s="326"/>
      <c r="S23" s="332"/>
      <c r="T23" s="61"/>
      <c r="U23" s="84"/>
      <c r="V23" s="61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</row>
    <row r="24" spans="1:40" ht="12.75" customHeight="1">
      <c r="A24" s="12"/>
      <c r="B24" s="56"/>
      <c r="C24" s="57"/>
      <c r="D24" s="58"/>
      <c r="E24" s="59"/>
      <c r="F24" s="130"/>
      <c r="G24" s="130"/>
      <c r="H24" s="59"/>
      <c r="I24" s="59"/>
      <c r="J24" s="61"/>
      <c r="K24" s="61"/>
      <c r="L24" s="61"/>
      <c r="M24" s="61"/>
      <c r="N24" s="131"/>
      <c r="O24" s="131"/>
      <c r="P24" s="326"/>
      <c r="Q24" s="332"/>
      <c r="R24" s="326"/>
      <c r="S24" s="332"/>
      <c r="T24" s="61"/>
      <c r="U24" s="84"/>
      <c r="V24" s="61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</row>
    <row r="25" spans="1:40" ht="12.75" customHeight="1">
      <c r="A25" s="12"/>
      <c r="B25" s="56"/>
      <c r="C25" s="57"/>
      <c r="D25" s="58"/>
      <c r="E25" s="59"/>
      <c r="F25" s="130"/>
      <c r="G25" s="130"/>
      <c r="H25" s="59"/>
      <c r="I25" s="59"/>
      <c r="J25" s="61"/>
      <c r="K25" s="61"/>
      <c r="L25" s="61"/>
      <c r="M25" s="61"/>
      <c r="N25" s="131"/>
      <c r="O25" s="131"/>
      <c r="P25" s="326"/>
      <c r="Q25" s="332"/>
      <c r="R25" s="326"/>
      <c r="S25" s="332"/>
      <c r="T25" s="61"/>
      <c r="U25" s="84"/>
      <c r="V25" s="61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</row>
    <row r="26" spans="1:40" ht="12.75" customHeight="1">
      <c r="A26" s="12"/>
      <c r="B26" s="56"/>
      <c r="C26" s="57"/>
      <c r="D26" s="58"/>
      <c r="E26" s="59"/>
      <c r="F26" s="130"/>
      <c r="G26" s="130"/>
      <c r="H26" s="59"/>
      <c r="I26" s="59"/>
      <c r="J26" s="61"/>
      <c r="K26" s="61"/>
      <c r="L26" s="61"/>
      <c r="M26" s="61"/>
      <c r="N26" s="131"/>
      <c r="O26" s="131"/>
      <c r="P26" s="326"/>
      <c r="Q26" s="332"/>
      <c r="R26" s="326"/>
      <c r="S26" s="332"/>
      <c r="T26" s="61"/>
      <c r="U26" s="84"/>
      <c r="V26" s="61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</row>
    <row r="27" spans="1:40" ht="12.75" customHeight="1">
      <c r="A27" s="12"/>
      <c r="B27" s="56"/>
      <c r="C27" s="57"/>
      <c r="D27" s="58"/>
      <c r="E27" s="59"/>
      <c r="F27" s="130"/>
      <c r="G27" s="130"/>
      <c r="H27" s="59"/>
      <c r="I27" s="59"/>
      <c r="J27" s="61"/>
      <c r="K27" s="61"/>
      <c r="L27" s="61"/>
      <c r="M27" s="61"/>
      <c r="N27" s="131"/>
      <c r="O27" s="131"/>
      <c r="P27" s="326"/>
      <c r="Q27" s="332"/>
      <c r="R27" s="326"/>
      <c r="S27" s="332"/>
      <c r="T27" s="61"/>
      <c r="U27" s="84"/>
      <c r="V27" s="61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</row>
    <row r="28" spans="1:40" ht="12.75" customHeight="1">
      <c r="A28" s="12"/>
      <c r="B28" s="56"/>
      <c r="C28" s="57"/>
      <c r="D28" s="58"/>
      <c r="E28" s="59"/>
      <c r="F28" s="130"/>
      <c r="G28" s="130"/>
      <c r="H28" s="59"/>
      <c r="I28" s="59"/>
      <c r="J28" s="61"/>
      <c r="K28" s="61"/>
      <c r="L28" s="61"/>
      <c r="M28" s="61"/>
      <c r="N28" s="131"/>
      <c r="O28" s="131"/>
      <c r="P28" s="326"/>
      <c r="Q28" s="332"/>
      <c r="R28" s="326"/>
      <c r="S28" s="332"/>
      <c r="T28" s="61"/>
      <c r="U28" s="84"/>
      <c r="V28" s="61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</row>
    <row r="29" spans="1:40" ht="12.75" customHeight="1">
      <c r="A29" s="12"/>
      <c r="B29" s="56"/>
      <c r="C29" s="57"/>
      <c r="D29" s="58"/>
      <c r="E29" s="59"/>
      <c r="F29" s="130"/>
      <c r="G29" s="130"/>
      <c r="H29" s="59"/>
      <c r="I29" s="59"/>
      <c r="J29" s="61"/>
      <c r="K29" s="61"/>
      <c r="L29" s="61"/>
      <c r="M29" s="61"/>
      <c r="N29" s="131"/>
      <c r="O29" s="131"/>
      <c r="P29" s="326"/>
      <c r="Q29" s="332"/>
      <c r="R29" s="326"/>
      <c r="S29" s="332"/>
      <c r="T29" s="61"/>
      <c r="U29" s="84"/>
      <c r="V29" s="61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</row>
    <row r="30" spans="1:40" ht="12.75" customHeight="1">
      <c r="A30" s="12"/>
      <c r="B30" s="56"/>
      <c r="C30" s="57"/>
      <c r="D30" s="58"/>
      <c r="E30" s="59"/>
      <c r="F30" s="130"/>
      <c r="G30" s="130"/>
      <c r="H30" s="59"/>
      <c r="I30" s="59"/>
      <c r="J30" s="61"/>
      <c r="K30" s="61"/>
      <c r="L30" s="61"/>
      <c r="M30" s="61"/>
      <c r="N30" s="131"/>
      <c r="O30" s="131"/>
      <c r="P30" s="326"/>
      <c r="Q30" s="332"/>
      <c r="R30" s="326"/>
      <c r="S30" s="332"/>
      <c r="T30" s="61"/>
      <c r="U30" s="84"/>
      <c r="V30" s="61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</row>
    <row r="31" spans="1:40" ht="12.75" customHeight="1">
      <c r="A31" s="12"/>
      <c r="B31" s="56"/>
      <c r="C31" s="57"/>
      <c r="D31" s="58"/>
      <c r="E31" s="59"/>
      <c r="F31" s="130"/>
      <c r="G31" s="130"/>
      <c r="H31" s="59"/>
      <c r="I31" s="59"/>
      <c r="J31" s="61"/>
      <c r="K31" s="61"/>
      <c r="L31" s="61"/>
      <c r="M31" s="61"/>
      <c r="N31" s="131"/>
      <c r="O31" s="131"/>
      <c r="P31" s="138"/>
      <c r="Q31" s="84"/>
      <c r="R31" s="138"/>
      <c r="S31" s="84"/>
      <c r="T31" s="61"/>
      <c r="U31" s="84"/>
      <c r="V31" s="61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</row>
    <row r="32" spans="1:40" ht="13.5" customHeight="1">
      <c r="A32" s="12"/>
      <c r="B32" s="10"/>
      <c r="C32" s="10"/>
      <c r="D32" s="220" t="s">
        <v>91</v>
      </c>
      <c r="E32" s="221"/>
      <c r="F32" s="133"/>
      <c r="G32" s="37"/>
      <c r="H32" s="7"/>
      <c r="I32" s="7"/>
      <c r="J32" s="12"/>
      <c r="K32" s="314" t="s">
        <v>110</v>
      </c>
      <c r="L32" s="335"/>
      <c r="M32" s="335"/>
      <c r="N32" s="127"/>
      <c r="O32" s="128"/>
      <c r="P32" s="315" t="s">
        <v>141</v>
      </c>
      <c r="Q32" s="315"/>
      <c r="R32" s="315"/>
      <c r="S32" s="334"/>
      <c r="T32" s="12"/>
      <c r="U32" s="12"/>
      <c r="V32" s="23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</row>
    <row r="33" spans="1:40" ht="18.75" customHeight="1">
      <c r="A33" s="12"/>
      <c r="B33" s="10"/>
      <c r="C33" s="12"/>
      <c r="D33" s="21" t="s">
        <v>35</v>
      </c>
      <c r="E33" s="181"/>
      <c r="F33" s="181"/>
      <c r="G33" s="181"/>
      <c r="H33" s="181"/>
      <c r="I33" s="36"/>
      <c r="J33" s="20"/>
      <c r="K33" s="21" t="s">
        <v>36</v>
      </c>
      <c r="L33" s="222"/>
      <c r="M33" s="223"/>
      <c r="N33" s="223"/>
      <c r="O33" s="223"/>
      <c r="P33" s="223"/>
      <c r="Q33" s="223"/>
      <c r="R33" s="36"/>
      <c r="S33" s="36"/>
      <c r="T33" s="36"/>
      <c r="U33" s="12"/>
      <c r="V33" s="12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</row>
    <row r="34" spans="1:40" ht="21.75" customHeight="1">
      <c r="A34" s="12"/>
      <c r="B34" s="20"/>
      <c r="C34" s="12"/>
      <c r="D34" s="21" t="s">
        <v>37</v>
      </c>
      <c r="E34" s="181"/>
      <c r="F34" s="181"/>
      <c r="G34" s="181"/>
      <c r="H34" s="181"/>
      <c r="I34" s="36"/>
      <c r="J34" s="20"/>
      <c r="K34" s="21" t="s">
        <v>38</v>
      </c>
      <c r="L34" s="222"/>
      <c r="M34" s="223"/>
      <c r="N34" s="223"/>
      <c r="O34" s="223"/>
      <c r="P34" s="223"/>
      <c r="Q34" s="223"/>
      <c r="R34" s="36"/>
      <c r="S34" s="36"/>
      <c r="T34" s="36"/>
      <c r="U34" s="12"/>
      <c r="V34" s="12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</row>
    <row r="35" spans="1:40" ht="13.5" customHeight="1">
      <c r="A35" s="12"/>
      <c r="B35" s="287" t="s">
        <v>65</v>
      </c>
      <c r="C35" s="287"/>
      <c r="D35" s="287"/>
      <c r="E35" s="287"/>
      <c r="F35" s="287"/>
      <c r="G35" s="287"/>
      <c r="H35" s="287"/>
      <c r="I35" s="287"/>
      <c r="J35" s="287"/>
      <c r="K35" s="287"/>
      <c r="L35" s="336"/>
      <c r="M35" s="22"/>
      <c r="N35" s="20"/>
      <c r="O35" s="20"/>
      <c r="P35" s="20"/>
      <c r="Q35" s="20"/>
      <c r="R35" s="20"/>
      <c r="S35" s="20"/>
      <c r="T35" s="20"/>
      <c r="U35" s="20"/>
      <c r="V35" s="20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</row>
    <row r="36" spans="1:40" ht="12.75">
      <c r="A36" s="12"/>
      <c r="B36" s="22" t="s">
        <v>190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</row>
    <row r="37" spans="1:37" ht="12.75">
      <c r="A37" s="12"/>
      <c r="B37" s="12" t="s">
        <v>192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</row>
    <row r="38" spans="1:37" ht="12.75">
      <c r="A38" s="12"/>
      <c r="B38" s="12" t="s">
        <v>189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</row>
    <row r="39" spans="1:37" ht="12.75">
      <c r="A39" s="12"/>
      <c r="B39" s="12" t="s">
        <v>97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</row>
    <row r="40" spans="1:37" ht="12.75" customHeight="1">
      <c r="A40" s="12"/>
      <c r="B40" s="12" t="s">
        <v>170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</row>
    <row r="41" spans="1:37" ht="12.75" customHeight="1">
      <c r="A41" s="12"/>
      <c r="B41" s="12"/>
      <c r="C41" s="12" t="s">
        <v>196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</row>
    <row r="42" spans="1:37" ht="12.75" customHeight="1">
      <c r="A42" s="12"/>
      <c r="B42" s="12"/>
      <c r="C42" s="12"/>
      <c r="D42" s="12" t="s">
        <v>197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</row>
    <row r="43" spans="1:37" ht="12.75" customHeight="1">
      <c r="A43" s="12"/>
      <c r="B43" s="22" t="s">
        <v>146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</row>
    <row r="44" spans="1:37" ht="12.75" customHeight="1">
      <c r="A44" s="12"/>
      <c r="B44" s="22" t="s">
        <v>147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</row>
    <row r="45" spans="2:25" ht="11.25" customHeight="1">
      <c r="B45" s="12" t="s">
        <v>98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318" t="s">
        <v>213</v>
      </c>
      <c r="R45" s="318"/>
      <c r="S45" s="318"/>
      <c r="T45" s="318"/>
      <c r="U45" s="318"/>
      <c r="V45" s="318"/>
      <c r="W45" s="76"/>
      <c r="X45" s="76"/>
      <c r="Y45" s="76"/>
    </row>
    <row r="46" spans="2:25" ht="12" customHeight="1">
      <c r="B46" s="1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76"/>
      <c r="X46" s="76"/>
      <c r="Y46" s="76"/>
    </row>
    <row r="47" spans="2:25" ht="12.7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76"/>
      <c r="X47" s="76"/>
      <c r="Y47" s="76"/>
    </row>
    <row r="48" spans="1:25" ht="12.75">
      <c r="A48" s="4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</row>
    <row r="49" spans="1:25" ht="12.75">
      <c r="A49" s="4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</row>
    <row r="50" spans="1:25" ht="12.75">
      <c r="A50" s="4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</row>
    <row r="51" spans="1:25" ht="12.75">
      <c r="A51" s="4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</row>
    <row r="52" spans="1:25" ht="12.75">
      <c r="A52" s="4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</row>
    <row r="53" spans="1:25" ht="12.75">
      <c r="A53" s="4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</row>
    <row r="54" spans="1:25" ht="12.75">
      <c r="A54" s="4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</row>
    <row r="55" spans="1:25" ht="12.75">
      <c r="A55" s="4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</row>
    <row r="56" spans="1:25" ht="12.75">
      <c r="A56" s="4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</row>
    <row r="57" spans="1:25" ht="12.75">
      <c r="A57" s="4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</row>
    <row r="58" spans="1:25" ht="12.75">
      <c r="A58" s="4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</row>
    <row r="59" spans="1:25" ht="12.75">
      <c r="A59" s="4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</row>
    <row r="60" spans="1:25" ht="12.75">
      <c r="A60" s="4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</row>
    <row r="61" spans="1:25" ht="12.75">
      <c r="A61" s="4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</row>
    <row r="62" spans="1:25" ht="12.75">
      <c r="A62" s="4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</row>
    <row r="63" spans="1:25" ht="12.75">
      <c r="A63" s="4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</row>
    <row r="64" spans="1:25" ht="12.75">
      <c r="A64" s="4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</row>
    <row r="65" spans="1:25" ht="12.75">
      <c r="A65" s="4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</row>
    <row r="66" spans="1:25" ht="12.75">
      <c r="A66" s="4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</row>
    <row r="67" spans="1:25" ht="12.75">
      <c r="A67" s="4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</row>
    <row r="68" spans="1:25" ht="12.75">
      <c r="A68" s="4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</row>
    <row r="69" spans="1:25" ht="12.75">
      <c r="A69" s="4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</row>
    <row r="70" spans="1:25" ht="12.75">
      <c r="A70" s="4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</row>
    <row r="71" spans="2:25" ht="12.7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 s="76"/>
      <c r="X71" s="76"/>
      <c r="Y71" s="76"/>
    </row>
    <row r="72" spans="2:25" ht="12.7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 s="76"/>
      <c r="X72" s="76"/>
      <c r="Y72" s="76"/>
    </row>
    <row r="73" spans="2:25" ht="12.7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 s="76"/>
      <c r="X73" s="76"/>
      <c r="Y73" s="76"/>
    </row>
    <row r="74" spans="2:25" ht="12.7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 s="76"/>
      <c r="X74" s="76"/>
      <c r="Y74" s="76"/>
    </row>
    <row r="75" spans="2:25" ht="12.7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 s="76"/>
      <c r="X75" s="76"/>
      <c r="Y75" s="76"/>
    </row>
    <row r="76" spans="2:25" ht="12.7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 s="76"/>
      <c r="X76" s="76"/>
      <c r="Y76" s="76"/>
    </row>
    <row r="77" spans="2:25" ht="12.7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 s="76"/>
      <c r="X77" s="76"/>
      <c r="Y77" s="76"/>
    </row>
    <row r="78" spans="2:25" ht="12.7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 s="76"/>
      <c r="X78" s="76"/>
      <c r="Y78" s="76"/>
    </row>
    <row r="79" spans="2:25" ht="12.7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 s="76"/>
      <c r="X79" s="76"/>
      <c r="Y79" s="76"/>
    </row>
    <row r="80" spans="2:25" ht="12.7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 s="76"/>
      <c r="X80" s="76"/>
      <c r="Y80" s="76"/>
    </row>
    <row r="81" spans="2:25" ht="12.7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 s="76"/>
      <c r="X81" s="76"/>
      <c r="Y81" s="76"/>
    </row>
    <row r="82" spans="2:25" ht="12.7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 s="76"/>
      <c r="X82" s="76"/>
      <c r="Y82" s="76"/>
    </row>
    <row r="83" spans="2:25" ht="12.7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 s="76"/>
      <c r="X83" s="76"/>
      <c r="Y83" s="76"/>
    </row>
    <row r="84" spans="2:25" ht="12.7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 s="76"/>
      <c r="X84" s="76"/>
      <c r="Y84" s="76"/>
    </row>
    <row r="85" spans="2:25" ht="12.7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 s="76"/>
      <c r="X85" s="76"/>
      <c r="Y85" s="76"/>
    </row>
    <row r="86" spans="2:25" ht="12.7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 s="76"/>
      <c r="X86" s="76"/>
      <c r="Y86" s="76"/>
    </row>
    <row r="87" spans="2:25" ht="12.7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 s="76"/>
      <c r="X87" s="76"/>
      <c r="Y87" s="76"/>
    </row>
    <row r="88" spans="2:25" ht="12.7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 s="76"/>
      <c r="X88" s="76"/>
      <c r="Y88" s="76"/>
    </row>
    <row r="89" spans="2:25" ht="12.7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 s="76"/>
      <c r="X89" s="76"/>
      <c r="Y89" s="76"/>
    </row>
    <row r="90" spans="2:25" ht="12.7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 s="76"/>
      <c r="X90" s="76"/>
      <c r="Y90" s="76"/>
    </row>
    <row r="91" spans="2:25" ht="12.7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 s="76"/>
      <c r="X91" s="76"/>
      <c r="Y91" s="76"/>
    </row>
    <row r="92" spans="2:25" ht="12.7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 s="76"/>
      <c r="X92" s="76"/>
      <c r="Y92" s="76"/>
    </row>
    <row r="93" spans="2:25" ht="12.7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 s="76"/>
      <c r="X93" s="76"/>
      <c r="Y93" s="76"/>
    </row>
    <row r="94" spans="2:25" ht="12.7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 s="76"/>
      <c r="X94" s="76"/>
      <c r="Y94" s="76"/>
    </row>
    <row r="95" spans="2:25" ht="12.7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 s="76"/>
      <c r="X95" s="76"/>
      <c r="Y95" s="76"/>
    </row>
    <row r="96" spans="2:25" ht="12.7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 s="76"/>
      <c r="X96" s="76"/>
      <c r="Y96" s="76"/>
    </row>
    <row r="97" spans="2:25" ht="12.7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 s="76"/>
      <c r="X97" s="76"/>
      <c r="Y97" s="76"/>
    </row>
    <row r="98" spans="2:25" ht="12.7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 s="76"/>
      <c r="X98" s="76"/>
      <c r="Y98" s="76"/>
    </row>
    <row r="99" spans="2:25" ht="12.75" hidden="1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 s="76"/>
      <c r="X99" s="76"/>
      <c r="Y99" s="76"/>
    </row>
    <row r="100" spans="2:25" ht="12.75" hidden="1">
      <c r="B100"/>
      <c r="C100" s="76">
        <f aca="true" t="shared" si="0" ref="C100:C109">IF(AND($S$9="Swine",$H21="BR",$I21="liquid"),0.7,D100)</f>
        <v>0</v>
      </c>
      <c r="D100" s="76">
        <f aca="true" t="shared" si="1" ref="D100:E109">IF(AND($S$9="Swine",$H21="IN",$I21="liquid"),0.8,E100)</f>
        <v>0</v>
      </c>
      <c r="E100" s="76">
        <f t="shared" si="1"/>
        <v>0</v>
      </c>
      <c r="F100" s="76">
        <f aca="true" t="shared" si="2" ref="F100:F109">IF(AND($S$9="Swine",$H21="IN",$I21="slurry"),0.8,G100)</f>
        <v>0</v>
      </c>
      <c r="G100" s="76">
        <f aca="true" t="shared" si="3" ref="G100:G109">IF(AND($S$9="Swine",$H21="SI",$I21="slurry"),0.8,H100)</f>
        <v>0</v>
      </c>
      <c r="H100" s="76">
        <f aca="true" t="shared" si="4" ref="H100:H109">IF(AND($S$9="Swine",$H21="BR",$I21="slurry"),0.7,I100)</f>
        <v>0</v>
      </c>
      <c r="I100" s="76">
        <f aca="true" t="shared" si="5" ref="I100:I109">IF(AND($S$9="Swine",$H21="BR",$I21="sludge"),0.7,J100)</f>
        <v>0</v>
      </c>
      <c r="J100" s="76">
        <f aca="true" t="shared" si="6" ref="J100:J109">IF(AND($S$9="Swine",$H21="SI",$I21="sludge"),0.8,K100)</f>
        <v>0</v>
      </c>
      <c r="K100" s="76">
        <f aca="true" t="shared" si="7" ref="K100:K109">IF(AND($S$9="Swine",$H21="IN",$I21="sludge"),0.8,L100)</f>
        <v>0</v>
      </c>
      <c r="L100" s="76">
        <f aca="true" t="shared" si="8" ref="L100:L109">IF(AND($S$9="Poultry",$H21="SI",$I21="sludge"),0.8,M100)</f>
        <v>0</v>
      </c>
      <c r="M100" s="76">
        <f aca="true" t="shared" si="9" ref="M100:M109">IF(AND($S$9="Poultry",$H21="BR",$I21="sludge"),0.7,N100)</f>
        <v>0</v>
      </c>
      <c r="N100" s="76">
        <f aca="true" t="shared" si="10" ref="N100:N109">IF(AND($S$9="Poultry",$H21="IN",$I21="sludge"),0.7,O100)</f>
        <v>0</v>
      </c>
      <c r="O100" s="76">
        <f aca="true" t="shared" si="11" ref="O100:O109">IF(AND($S$9="Poultry",$H21="IN",$I21="slurry"),0.8,P100)</f>
        <v>0</v>
      </c>
      <c r="P100" s="76">
        <f aca="true" t="shared" si="12" ref="P100:P109">IF(AND($S$9="Poultry",$H21="BR",$I21="slurry"),0.7,Q100)</f>
        <v>0</v>
      </c>
      <c r="Q100" s="76">
        <f aca="true" t="shared" si="13" ref="Q100:Q109">IF(AND($S$9="Poultry",$H21="SI",$I21="slurry"),0.8,R100)</f>
        <v>0</v>
      </c>
      <c r="R100" s="76">
        <f aca="true" t="shared" si="14" ref="R100:R109">IF(AND($S$9="Poultry",$H21="SI",$I21="liquid"),0.8,S100)</f>
        <v>0</v>
      </c>
      <c r="S100" s="76">
        <f aca="true" t="shared" si="15" ref="S100:S109">IF(AND($S$9="Poultry",$H21="BR",$I21="liquid"),0.7,T100)</f>
        <v>0</v>
      </c>
      <c r="T100" s="76">
        <f aca="true" t="shared" si="16" ref="T100:T109">IF(AND($S$9="Poultry",$H21="IN",$I21="liquid"),0.8,U100)</f>
        <v>0</v>
      </c>
      <c r="U100" s="76">
        <f aca="true" t="shared" si="17" ref="U100:U109">IF(AND($S$9="Dairy",$H21="IN",$I21="slurry"),0.8,V100)</f>
        <v>0</v>
      </c>
      <c r="V100" s="76">
        <f aca="true" t="shared" si="18" ref="V100:V109">IF(AND($S$9="Dairy",$H21="BR",$I21="slurry"),0.7,W100)</f>
        <v>0</v>
      </c>
      <c r="W100" s="76">
        <f aca="true" t="shared" si="19" ref="W100:W109">IF(AND($S$9="Dairy",$H21="SI",$I21="slurry"),0.8,X100)</f>
        <v>0</v>
      </c>
      <c r="X100" s="76">
        <f aca="true" t="shared" si="20" ref="X100:X109">IF(AND($S$9="Dairy",$H21="BR",$I21="DMSSSP"),0.6,Y100)</f>
        <v>0</v>
      </c>
      <c r="Y100" s="76">
        <f aca="true" t="shared" si="21" ref="Y100:Y109">IF(AND($S$9="Dairy",$H21="SI",$I21="DMSSSP"),0.75,Z100)</f>
        <v>0</v>
      </c>
    </row>
    <row r="101" spans="2:25" ht="12.75" hidden="1">
      <c r="B101"/>
      <c r="C101" s="76">
        <f t="shared" si="0"/>
        <v>0</v>
      </c>
      <c r="D101" s="76">
        <f t="shared" si="1"/>
        <v>0</v>
      </c>
      <c r="E101" s="76">
        <f t="shared" si="1"/>
        <v>0</v>
      </c>
      <c r="F101" s="76">
        <f t="shared" si="2"/>
        <v>0</v>
      </c>
      <c r="G101" s="76">
        <f t="shared" si="3"/>
        <v>0</v>
      </c>
      <c r="H101" s="76">
        <f t="shared" si="4"/>
        <v>0</v>
      </c>
      <c r="I101" s="76">
        <f t="shared" si="5"/>
        <v>0</v>
      </c>
      <c r="J101" s="76">
        <f t="shared" si="6"/>
        <v>0</v>
      </c>
      <c r="K101" s="76">
        <f t="shared" si="7"/>
        <v>0</v>
      </c>
      <c r="L101" s="76">
        <f t="shared" si="8"/>
        <v>0</v>
      </c>
      <c r="M101" s="76">
        <f t="shared" si="9"/>
        <v>0</v>
      </c>
      <c r="N101" s="76">
        <f t="shared" si="10"/>
        <v>0</v>
      </c>
      <c r="O101" s="76">
        <f t="shared" si="11"/>
        <v>0</v>
      </c>
      <c r="P101" s="76">
        <f t="shared" si="12"/>
        <v>0</v>
      </c>
      <c r="Q101" s="76">
        <f t="shared" si="13"/>
        <v>0</v>
      </c>
      <c r="R101" s="76">
        <f t="shared" si="14"/>
        <v>0</v>
      </c>
      <c r="S101" s="76">
        <f t="shared" si="15"/>
        <v>0</v>
      </c>
      <c r="T101" s="76">
        <f t="shared" si="16"/>
        <v>0</v>
      </c>
      <c r="U101" s="76">
        <f t="shared" si="17"/>
        <v>0</v>
      </c>
      <c r="V101" s="76">
        <f t="shared" si="18"/>
        <v>0</v>
      </c>
      <c r="W101" s="76">
        <f t="shared" si="19"/>
        <v>0</v>
      </c>
      <c r="X101" s="76">
        <f t="shared" si="20"/>
        <v>0</v>
      </c>
      <c r="Y101" s="76">
        <f t="shared" si="21"/>
        <v>0</v>
      </c>
    </row>
    <row r="102" spans="2:25" ht="12.75" hidden="1">
      <c r="B102"/>
      <c r="C102" s="76">
        <f t="shared" si="0"/>
        <v>0</v>
      </c>
      <c r="D102" s="76">
        <f t="shared" si="1"/>
        <v>0</v>
      </c>
      <c r="E102" s="76">
        <f t="shared" si="1"/>
        <v>0</v>
      </c>
      <c r="F102" s="76">
        <f t="shared" si="2"/>
        <v>0</v>
      </c>
      <c r="G102" s="76">
        <f t="shared" si="3"/>
        <v>0</v>
      </c>
      <c r="H102" s="76">
        <f t="shared" si="4"/>
        <v>0</v>
      </c>
      <c r="I102" s="76">
        <f t="shared" si="5"/>
        <v>0</v>
      </c>
      <c r="J102" s="76">
        <f t="shared" si="6"/>
        <v>0</v>
      </c>
      <c r="K102" s="76">
        <f t="shared" si="7"/>
        <v>0</v>
      </c>
      <c r="L102" s="76">
        <f t="shared" si="8"/>
        <v>0</v>
      </c>
      <c r="M102" s="76">
        <f t="shared" si="9"/>
        <v>0</v>
      </c>
      <c r="N102" s="76">
        <f t="shared" si="10"/>
        <v>0</v>
      </c>
      <c r="O102" s="76">
        <f t="shared" si="11"/>
        <v>0</v>
      </c>
      <c r="P102" s="76">
        <f t="shared" si="12"/>
        <v>0</v>
      </c>
      <c r="Q102" s="76">
        <f t="shared" si="13"/>
        <v>0</v>
      </c>
      <c r="R102" s="76">
        <f t="shared" si="14"/>
        <v>0</v>
      </c>
      <c r="S102" s="76">
        <f t="shared" si="15"/>
        <v>0</v>
      </c>
      <c r="T102" s="76">
        <f t="shared" si="16"/>
        <v>0</v>
      </c>
      <c r="U102" s="76">
        <f t="shared" si="17"/>
        <v>0</v>
      </c>
      <c r="V102" s="76">
        <f t="shared" si="18"/>
        <v>0</v>
      </c>
      <c r="W102" s="76">
        <f t="shared" si="19"/>
        <v>0</v>
      </c>
      <c r="X102" s="76">
        <f t="shared" si="20"/>
        <v>0</v>
      </c>
      <c r="Y102" s="76">
        <f t="shared" si="21"/>
        <v>0</v>
      </c>
    </row>
    <row r="103" spans="2:25" ht="12.75" hidden="1">
      <c r="B103"/>
      <c r="C103" s="76">
        <f t="shared" si="0"/>
        <v>0</v>
      </c>
      <c r="D103" s="76">
        <f t="shared" si="1"/>
        <v>0</v>
      </c>
      <c r="E103" s="76">
        <f t="shared" si="1"/>
        <v>0</v>
      </c>
      <c r="F103" s="76">
        <f t="shared" si="2"/>
        <v>0</v>
      </c>
      <c r="G103" s="76">
        <f t="shared" si="3"/>
        <v>0</v>
      </c>
      <c r="H103" s="76">
        <f t="shared" si="4"/>
        <v>0</v>
      </c>
      <c r="I103" s="76">
        <f t="shared" si="5"/>
        <v>0</v>
      </c>
      <c r="J103" s="76">
        <f t="shared" si="6"/>
        <v>0</v>
      </c>
      <c r="K103" s="76">
        <f t="shared" si="7"/>
        <v>0</v>
      </c>
      <c r="L103" s="76">
        <f t="shared" si="8"/>
        <v>0</v>
      </c>
      <c r="M103" s="76">
        <f t="shared" si="9"/>
        <v>0</v>
      </c>
      <c r="N103" s="76">
        <f t="shared" si="10"/>
        <v>0</v>
      </c>
      <c r="O103" s="76">
        <f t="shared" si="11"/>
        <v>0</v>
      </c>
      <c r="P103" s="76">
        <f t="shared" si="12"/>
        <v>0</v>
      </c>
      <c r="Q103" s="76">
        <f t="shared" si="13"/>
        <v>0</v>
      </c>
      <c r="R103" s="76">
        <f t="shared" si="14"/>
        <v>0</v>
      </c>
      <c r="S103" s="76">
        <f t="shared" si="15"/>
        <v>0</v>
      </c>
      <c r="T103" s="76">
        <f t="shared" si="16"/>
        <v>0</v>
      </c>
      <c r="U103" s="76">
        <f t="shared" si="17"/>
        <v>0</v>
      </c>
      <c r="V103" s="76">
        <f t="shared" si="18"/>
        <v>0</v>
      </c>
      <c r="W103" s="76">
        <f t="shared" si="19"/>
        <v>0</v>
      </c>
      <c r="X103" s="76">
        <f t="shared" si="20"/>
        <v>0</v>
      </c>
      <c r="Y103" s="76">
        <f t="shared" si="21"/>
        <v>0</v>
      </c>
    </row>
    <row r="104" spans="2:25" ht="12.75" hidden="1">
      <c r="B104"/>
      <c r="C104" s="76">
        <f t="shared" si="0"/>
        <v>0</v>
      </c>
      <c r="D104" s="76">
        <f t="shared" si="1"/>
        <v>0</v>
      </c>
      <c r="E104" s="76">
        <f t="shared" si="1"/>
        <v>0</v>
      </c>
      <c r="F104" s="76">
        <f t="shared" si="2"/>
        <v>0</v>
      </c>
      <c r="G104" s="76">
        <f t="shared" si="3"/>
        <v>0</v>
      </c>
      <c r="H104" s="76">
        <f t="shared" si="4"/>
        <v>0</v>
      </c>
      <c r="I104" s="76">
        <f t="shared" si="5"/>
        <v>0</v>
      </c>
      <c r="J104" s="76">
        <f t="shared" si="6"/>
        <v>0</v>
      </c>
      <c r="K104" s="76">
        <f t="shared" si="7"/>
        <v>0</v>
      </c>
      <c r="L104" s="76">
        <f t="shared" si="8"/>
        <v>0</v>
      </c>
      <c r="M104" s="76">
        <f t="shared" si="9"/>
        <v>0</v>
      </c>
      <c r="N104" s="76">
        <f t="shared" si="10"/>
        <v>0</v>
      </c>
      <c r="O104" s="76">
        <f t="shared" si="11"/>
        <v>0</v>
      </c>
      <c r="P104" s="76">
        <f t="shared" si="12"/>
        <v>0</v>
      </c>
      <c r="Q104" s="76">
        <f t="shared" si="13"/>
        <v>0</v>
      </c>
      <c r="R104" s="76">
        <f t="shared" si="14"/>
        <v>0</v>
      </c>
      <c r="S104" s="76">
        <f t="shared" si="15"/>
        <v>0</v>
      </c>
      <c r="T104" s="76">
        <f t="shared" si="16"/>
        <v>0</v>
      </c>
      <c r="U104" s="76">
        <f t="shared" si="17"/>
        <v>0</v>
      </c>
      <c r="V104" s="76">
        <f t="shared" si="18"/>
        <v>0</v>
      </c>
      <c r="W104" s="76">
        <f t="shared" si="19"/>
        <v>0</v>
      </c>
      <c r="X104" s="76">
        <f t="shared" si="20"/>
        <v>0</v>
      </c>
      <c r="Y104" s="76">
        <f t="shared" si="21"/>
        <v>0</v>
      </c>
    </row>
    <row r="105" spans="2:25" ht="12.75" hidden="1">
      <c r="B105"/>
      <c r="C105" s="76">
        <f t="shared" si="0"/>
        <v>0</v>
      </c>
      <c r="D105" s="76">
        <f t="shared" si="1"/>
        <v>0</v>
      </c>
      <c r="E105" s="76">
        <f t="shared" si="1"/>
        <v>0</v>
      </c>
      <c r="F105" s="76">
        <f t="shared" si="2"/>
        <v>0</v>
      </c>
      <c r="G105" s="76">
        <f t="shared" si="3"/>
        <v>0</v>
      </c>
      <c r="H105" s="76">
        <f t="shared" si="4"/>
        <v>0</v>
      </c>
      <c r="I105" s="76">
        <f t="shared" si="5"/>
        <v>0</v>
      </c>
      <c r="J105" s="76">
        <f t="shared" si="6"/>
        <v>0</v>
      </c>
      <c r="K105" s="76">
        <f t="shared" si="7"/>
        <v>0</v>
      </c>
      <c r="L105" s="76">
        <f t="shared" si="8"/>
        <v>0</v>
      </c>
      <c r="M105" s="76">
        <f t="shared" si="9"/>
        <v>0</v>
      </c>
      <c r="N105" s="76">
        <f t="shared" si="10"/>
        <v>0</v>
      </c>
      <c r="O105" s="76">
        <f t="shared" si="11"/>
        <v>0</v>
      </c>
      <c r="P105" s="76">
        <f t="shared" si="12"/>
        <v>0</v>
      </c>
      <c r="Q105" s="76">
        <f t="shared" si="13"/>
        <v>0</v>
      </c>
      <c r="R105" s="76">
        <f t="shared" si="14"/>
        <v>0</v>
      </c>
      <c r="S105" s="76">
        <f t="shared" si="15"/>
        <v>0</v>
      </c>
      <c r="T105" s="76">
        <f t="shared" si="16"/>
        <v>0</v>
      </c>
      <c r="U105" s="76">
        <f t="shared" si="17"/>
        <v>0</v>
      </c>
      <c r="V105" s="76">
        <f t="shared" si="18"/>
        <v>0</v>
      </c>
      <c r="W105" s="76">
        <f t="shared" si="19"/>
        <v>0</v>
      </c>
      <c r="X105" s="76">
        <f t="shared" si="20"/>
        <v>0</v>
      </c>
      <c r="Y105" s="76">
        <f t="shared" si="21"/>
        <v>0</v>
      </c>
    </row>
    <row r="106" spans="2:25" ht="12.75" hidden="1">
      <c r="B106"/>
      <c r="C106" s="76">
        <f t="shared" si="0"/>
        <v>0</v>
      </c>
      <c r="D106" s="76">
        <f t="shared" si="1"/>
        <v>0</v>
      </c>
      <c r="E106" s="76">
        <f t="shared" si="1"/>
        <v>0</v>
      </c>
      <c r="F106" s="76">
        <f t="shared" si="2"/>
        <v>0</v>
      </c>
      <c r="G106" s="76">
        <f t="shared" si="3"/>
        <v>0</v>
      </c>
      <c r="H106" s="76">
        <f t="shared" si="4"/>
        <v>0</v>
      </c>
      <c r="I106" s="76">
        <f t="shared" si="5"/>
        <v>0</v>
      </c>
      <c r="J106" s="76">
        <f t="shared" si="6"/>
        <v>0</v>
      </c>
      <c r="K106" s="76">
        <f t="shared" si="7"/>
        <v>0</v>
      </c>
      <c r="L106" s="76">
        <f t="shared" si="8"/>
        <v>0</v>
      </c>
      <c r="M106" s="76">
        <f t="shared" si="9"/>
        <v>0</v>
      </c>
      <c r="N106" s="76">
        <f t="shared" si="10"/>
        <v>0</v>
      </c>
      <c r="O106" s="76">
        <f t="shared" si="11"/>
        <v>0</v>
      </c>
      <c r="P106" s="76">
        <f t="shared" si="12"/>
        <v>0</v>
      </c>
      <c r="Q106" s="76">
        <f t="shared" si="13"/>
        <v>0</v>
      </c>
      <c r="R106" s="76">
        <f t="shared" si="14"/>
        <v>0</v>
      </c>
      <c r="S106" s="76">
        <f t="shared" si="15"/>
        <v>0</v>
      </c>
      <c r="T106" s="76">
        <f t="shared" si="16"/>
        <v>0</v>
      </c>
      <c r="U106" s="76">
        <f t="shared" si="17"/>
        <v>0</v>
      </c>
      <c r="V106" s="76">
        <f t="shared" si="18"/>
        <v>0</v>
      </c>
      <c r="W106" s="76">
        <f t="shared" si="19"/>
        <v>0</v>
      </c>
      <c r="X106" s="76">
        <f t="shared" si="20"/>
        <v>0</v>
      </c>
      <c r="Y106" s="76">
        <f t="shared" si="21"/>
        <v>0</v>
      </c>
    </row>
    <row r="107" spans="2:25" ht="12.75" hidden="1">
      <c r="B107"/>
      <c r="C107" s="76">
        <f t="shared" si="0"/>
        <v>0</v>
      </c>
      <c r="D107" s="76">
        <f t="shared" si="1"/>
        <v>0</v>
      </c>
      <c r="E107" s="76">
        <f t="shared" si="1"/>
        <v>0</v>
      </c>
      <c r="F107" s="76">
        <f t="shared" si="2"/>
        <v>0</v>
      </c>
      <c r="G107" s="76">
        <f t="shared" si="3"/>
        <v>0</v>
      </c>
      <c r="H107" s="76">
        <f t="shared" si="4"/>
        <v>0</v>
      </c>
      <c r="I107" s="76">
        <f t="shared" si="5"/>
        <v>0</v>
      </c>
      <c r="J107" s="76">
        <f t="shared" si="6"/>
        <v>0</v>
      </c>
      <c r="K107" s="76">
        <f t="shared" si="7"/>
        <v>0</v>
      </c>
      <c r="L107" s="76">
        <f t="shared" si="8"/>
        <v>0</v>
      </c>
      <c r="M107" s="76">
        <f t="shared" si="9"/>
        <v>0</v>
      </c>
      <c r="N107" s="76">
        <f t="shared" si="10"/>
        <v>0</v>
      </c>
      <c r="O107" s="76">
        <f t="shared" si="11"/>
        <v>0</v>
      </c>
      <c r="P107" s="76">
        <f t="shared" si="12"/>
        <v>0</v>
      </c>
      <c r="Q107" s="76">
        <f t="shared" si="13"/>
        <v>0</v>
      </c>
      <c r="R107" s="76">
        <f t="shared" si="14"/>
        <v>0</v>
      </c>
      <c r="S107" s="76">
        <f t="shared" si="15"/>
        <v>0</v>
      </c>
      <c r="T107" s="76">
        <f t="shared" si="16"/>
        <v>0</v>
      </c>
      <c r="U107" s="76">
        <f t="shared" si="17"/>
        <v>0</v>
      </c>
      <c r="V107" s="76">
        <f t="shared" si="18"/>
        <v>0</v>
      </c>
      <c r="W107" s="76">
        <f t="shared" si="19"/>
        <v>0</v>
      </c>
      <c r="X107" s="76">
        <f t="shared" si="20"/>
        <v>0</v>
      </c>
      <c r="Y107" s="76">
        <f t="shared" si="21"/>
        <v>0</v>
      </c>
    </row>
    <row r="108" spans="2:25" ht="12.75" hidden="1">
      <c r="B108"/>
      <c r="C108" s="76">
        <f t="shared" si="0"/>
        <v>0</v>
      </c>
      <c r="D108" s="76">
        <f t="shared" si="1"/>
        <v>0</v>
      </c>
      <c r="E108" s="76">
        <f t="shared" si="1"/>
        <v>0</v>
      </c>
      <c r="F108" s="76">
        <f t="shared" si="2"/>
        <v>0</v>
      </c>
      <c r="G108" s="76">
        <f t="shared" si="3"/>
        <v>0</v>
      </c>
      <c r="H108" s="76">
        <f t="shared" si="4"/>
        <v>0</v>
      </c>
      <c r="I108" s="76">
        <f t="shared" si="5"/>
        <v>0</v>
      </c>
      <c r="J108" s="76">
        <f t="shared" si="6"/>
        <v>0</v>
      </c>
      <c r="K108" s="76">
        <f t="shared" si="7"/>
        <v>0</v>
      </c>
      <c r="L108" s="76">
        <f t="shared" si="8"/>
        <v>0</v>
      </c>
      <c r="M108" s="76">
        <f t="shared" si="9"/>
        <v>0</v>
      </c>
      <c r="N108" s="76">
        <f t="shared" si="10"/>
        <v>0</v>
      </c>
      <c r="O108" s="76">
        <f t="shared" si="11"/>
        <v>0</v>
      </c>
      <c r="P108" s="76">
        <f t="shared" si="12"/>
        <v>0</v>
      </c>
      <c r="Q108" s="76">
        <f t="shared" si="13"/>
        <v>0</v>
      </c>
      <c r="R108" s="76">
        <f t="shared" si="14"/>
        <v>0</v>
      </c>
      <c r="S108" s="76">
        <f t="shared" si="15"/>
        <v>0</v>
      </c>
      <c r="T108" s="76">
        <f t="shared" si="16"/>
        <v>0</v>
      </c>
      <c r="U108" s="76">
        <f t="shared" si="17"/>
        <v>0</v>
      </c>
      <c r="V108" s="76">
        <f t="shared" si="18"/>
        <v>0</v>
      </c>
      <c r="W108" s="76">
        <f t="shared" si="19"/>
        <v>0</v>
      </c>
      <c r="X108" s="76">
        <f t="shared" si="20"/>
        <v>0</v>
      </c>
      <c r="Y108" s="76">
        <f t="shared" si="21"/>
        <v>0</v>
      </c>
    </row>
    <row r="109" spans="2:25" ht="12.75" hidden="1">
      <c r="B109"/>
      <c r="C109" s="76">
        <f t="shared" si="0"/>
        <v>0</v>
      </c>
      <c r="D109" s="76">
        <f t="shared" si="1"/>
        <v>0</v>
      </c>
      <c r="E109" s="76">
        <f t="shared" si="1"/>
        <v>0</v>
      </c>
      <c r="F109" s="76">
        <f t="shared" si="2"/>
        <v>0</v>
      </c>
      <c r="G109" s="76">
        <f t="shared" si="3"/>
        <v>0</v>
      </c>
      <c r="H109" s="76">
        <f t="shared" si="4"/>
        <v>0</v>
      </c>
      <c r="I109" s="76">
        <f t="shared" si="5"/>
        <v>0</v>
      </c>
      <c r="J109" s="76">
        <f t="shared" si="6"/>
        <v>0</v>
      </c>
      <c r="K109" s="76">
        <f t="shared" si="7"/>
        <v>0</v>
      </c>
      <c r="L109" s="76">
        <f t="shared" si="8"/>
        <v>0</v>
      </c>
      <c r="M109" s="76">
        <f t="shared" si="9"/>
        <v>0</v>
      </c>
      <c r="N109" s="76">
        <f t="shared" si="10"/>
        <v>0</v>
      </c>
      <c r="O109" s="76">
        <f t="shared" si="11"/>
        <v>0</v>
      </c>
      <c r="P109" s="76">
        <f t="shared" si="12"/>
        <v>0</v>
      </c>
      <c r="Q109" s="76">
        <f t="shared" si="13"/>
        <v>0</v>
      </c>
      <c r="R109" s="76">
        <f t="shared" si="14"/>
        <v>0</v>
      </c>
      <c r="S109" s="76">
        <f t="shared" si="15"/>
        <v>0</v>
      </c>
      <c r="T109" s="76">
        <f t="shared" si="16"/>
        <v>0</v>
      </c>
      <c r="U109" s="76">
        <f t="shared" si="17"/>
        <v>0</v>
      </c>
      <c r="V109" s="76">
        <f t="shared" si="18"/>
        <v>0</v>
      </c>
      <c r="W109" s="76">
        <f t="shared" si="19"/>
        <v>0</v>
      </c>
      <c r="X109" s="76">
        <f t="shared" si="20"/>
        <v>0</v>
      </c>
      <c r="Y109" s="76">
        <f t="shared" si="21"/>
        <v>0</v>
      </c>
    </row>
    <row r="110" spans="2:25" ht="12.75" hidden="1">
      <c r="B110"/>
      <c r="C110" s="76" t="e">
        <f>IF(AND($S$9="Swine",#REF!="BR",#REF!="liquid"),0.7,D110)</f>
        <v>#REF!</v>
      </c>
      <c r="D110" s="76" t="e">
        <f>IF(AND($S$9="Swine",#REF!="IN",#REF!="liquid"),0.8,E110)</f>
        <v>#REF!</v>
      </c>
      <c r="E110" s="76" t="e">
        <f>IF(AND($S$9="Swine",#REF!="IN",#REF!="liquid"),0.8,F110)</f>
        <v>#REF!</v>
      </c>
      <c r="F110" s="76" t="e">
        <f>IF(AND($S$9="Swine",#REF!="IN",#REF!="slurry"),0.8,G110)</f>
        <v>#REF!</v>
      </c>
      <c r="G110" s="76" t="e">
        <f>IF(AND($S$9="Swine",#REF!="SI",#REF!="slurry"),0.8,H110)</f>
        <v>#REF!</v>
      </c>
      <c r="H110" s="76" t="e">
        <f>IF(AND($S$9="Swine",#REF!="BR",#REF!="slurry"),0.7,I110)</f>
        <v>#REF!</v>
      </c>
      <c r="I110" s="76" t="e">
        <f>IF(AND($S$9="Swine",#REF!="BR",#REF!="sludge"),0.7,J110)</f>
        <v>#REF!</v>
      </c>
      <c r="J110" s="76" t="e">
        <f>IF(AND($S$9="Swine",#REF!="SI",#REF!="sludge"),0.8,K110)</f>
        <v>#REF!</v>
      </c>
      <c r="K110" s="76" t="e">
        <f>IF(AND($S$9="Swine",#REF!="IN",#REF!="sludge"),0.8,L110)</f>
        <v>#REF!</v>
      </c>
      <c r="L110" s="76" t="e">
        <f>IF(AND($S$9="Poultry",#REF!="SI",#REF!="sludge"),0.8,M110)</f>
        <v>#REF!</v>
      </c>
      <c r="M110" s="76" t="e">
        <f>IF(AND($S$9="Poultry",#REF!="BR",#REF!="sludge"),0.7,N110)</f>
        <v>#REF!</v>
      </c>
      <c r="N110" s="76" t="e">
        <f>IF(AND($S$9="Poultry",#REF!="IN",#REF!="sludge"),0.7,O110)</f>
        <v>#REF!</v>
      </c>
      <c r="O110" s="76" t="e">
        <f>IF(AND($S$9="Poultry",#REF!="IN",#REF!="slurry"),0.8,P110)</f>
        <v>#REF!</v>
      </c>
      <c r="P110" s="76" t="e">
        <f>IF(AND($S$9="Poultry",#REF!="BR",#REF!="slurry"),0.7,Q110)</f>
        <v>#REF!</v>
      </c>
      <c r="Q110" s="76" t="e">
        <f>IF(AND($S$9="Poultry",#REF!="SI",#REF!="slurry"),0.8,R110)</f>
        <v>#REF!</v>
      </c>
      <c r="R110" s="76" t="e">
        <f>IF(AND($S$9="Poultry",#REF!="SI",#REF!="liquid"),0.8,S110)</f>
        <v>#REF!</v>
      </c>
      <c r="S110" s="76" t="e">
        <f>IF(AND($S$9="Poultry",#REF!="BR",#REF!="liquid"),0.7,T110)</f>
        <v>#REF!</v>
      </c>
      <c r="T110" s="76" t="e">
        <f>IF(AND($S$9="Poultry",#REF!="IN",#REF!="liquid"),0.8,U110)</f>
        <v>#REF!</v>
      </c>
      <c r="U110" s="76" t="e">
        <f>IF(AND($S$9="Dairy",#REF!="IN",#REF!="slurry"),0.8,V110)</f>
        <v>#REF!</v>
      </c>
      <c r="V110" s="76" t="e">
        <f>IF(AND($S$9="Dairy",#REF!="BR",#REF!="slurry"),0.7,W110)</f>
        <v>#REF!</v>
      </c>
      <c r="W110" s="76" t="e">
        <f>IF(AND($S$9="Dairy",#REF!="SI",#REF!="slurry"),0.8,X110)</f>
        <v>#REF!</v>
      </c>
      <c r="X110" s="76" t="e">
        <f>IF(AND($S$9="Dairy",#REF!="BR",#REF!="DMSSSP"),0.6,Y110)</f>
        <v>#REF!</v>
      </c>
      <c r="Y110" s="76" t="e">
        <f>IF(AND($S$9="Dairy",#REF!="SI",#REF!="DMSSSP"),0.75,Z110)</f>
        <v>#REF!</v>
      </c>
    </row>
    <row r="111" spans="2:25" ht="12.75" hidden="1">
      <c r="B111"/>
      <c r="C111" s="76" t="e">
        <f>IF(AND($S$9="Swine",#REF!="BR",#REF!="liquid"),0.7,D111)</f>
        <v>#REF!</v>
      </c>
      <c r="D111" s="76" t="e">
        <f>IF(AND($S$9="Swine",#REF!="IN",#REF!="liquid"),0.8,E111)</f>
        <v>#REF!</v>
      </c>
      <c r="E111" s="76" t="e">
        <f>IF(AND($S$9="Swine",#REF!="IN",#REF!="liquid"),0.8,F111)</f>
        <v>#REF!</v>
      </c>
      <c r="F111" s="76" t="e">
        <f>IF(AND($S$9="Swine",#REF!="IN",#REF!="slurry"),0.8,G111)</f>
        <v>#REF!</v>
      </c>
      <c r="G111" s="76" t="e">
        <f>IF(AND($S$9="Swine",#REF!="SI",#REF!="slurry"),0.8,H111)</f>
        <v>#REF!</v>
      </c>
      <c r="H111" s="76" t="e">
        <f>IF(AND($S$9="Swine",#REF!="BR",#REF!="slurry"),0.7,I111)</f>
        <v>#REF!</v>
      </c>
      <c r="I111" s="76" t="e">
        <f>IF(AND($S$9="Swine",#REF!="BR",#REF!="sludge"),0.7,J111)</f>
        <v>#REF!</v>
      </c>
      <c r="J111" s="76" t="e">
        <f>IF(AND($S$9="Swine",#REF!="SI",#REF!="sludge"),0.8,K111)</f>
        <v>#REF!</v>
      </c>
      <c r="K111" s="76" t="e">
        <f>IF(AND($S$9="Swine",#REF!="IN",#REF!="sludge"),0.8,L111)</f>
        <v>#REF!</v>
      </c>
      <c r="L111" s="76" t="e">
        <f>IF(AND($S$9="Poultry",#REF!="SI",#REF!="sludge"),0.8,M111)</f>
        <v>#REF!</v>
      </c>
      <c r="M111" s="76" t="e">
        <f>IF(AND($S$9="Poultry",#REF!="BR",#REF!="sludge"),0.7,N111)</f>
        <v>#REF!</v>
      </c>
      <c r="N111" s="76" t="e">
        <f>IF(AND($S$9="Poultry",#REF!="IN",#REF!="sludge"),0.7,O111)</f>
        <v>#REF!</v>
      </c>
      <c r="O111" s="76" t="e">
        <f>IF(AND($S$9="Poultry",#REF!="IN",#REF!="slurry"),0.8,P111)</f>
        <v>#REF!</v>
      </c>
      <c r="P111" s="76" t="e">
        <f>IF(AND($S$9="Poultry",#REF!="BR",#REF!="slurry"),0.7,Q111)</f>
        <v>#REF!</v>
      </c>
      <c r="Q111" s="76" t="e">
        <f>IF(AND($S$9="Poultry",#REF!="SI",#REF!="slurry"),0.8,R111)</f>
        <v>#REF!</v>
      </c>
      <c r="R111" s="76" t="e">
        <f>IF(AND($S$9="Poultry",#REF!="SI",#REF!="liquid"),0.8,S111)</f>
        <v>#REF!</v>
      </c>
      <c r="S111" s="76" t="e">
        <f>IF(AND($S$9="Poultry",#REF!="BR",#REF!="liquid"),0.7,T111)</f>
        <v>#REF!</v>
      </c>
      <c r="T111" s="76" t="e">
        <f>IF(AND($S$9="Poultry",#REF!="IN",#REF!="liquid"),0.8,U111)</f>
        <v>#REF!</v>
      </c>
      <c r="U111" s="76" t="e">
        <f>IF(AND($S$9="Dairy",#REF!="IN",#REF!="slurry"),0.8,V111)</f>
        <v>#REF!</v>
      </c>
      <c r="V111" s="76" t="e">
        <f>IF(AND($S$9="Dairy",#REF!="BR",#REF!="slurry"),0.7,W111)</f>
        <v>#REF!</v>
      </c>
      <c r="W111" s="76" t="e">
        <f>IF(AND($S$9="Dairy",#REF!="SI",#REF!="slurry"),0.8,X111)</f>
        <v>#REF!</v>
      </c>
      <c r="X111" s="76" t="e">
        <f>IF(AND($S$9="Dairy",#REF!="BR",#REF!="DMSSSP"),0.6,Y111)</f>
        <v>#REF!</v>
      </c>
      <c r="Y111" s="76" t="e">
        <f>IF(AND($S$9="Dairy",#REF!="SI",#REF!="DMSSSP"),0.75,Z111)</f>
        <v>#REF!</v>
      </c>
    </row>
    <row r="112" spans="2:25" ht="12.75" hidden="1">
      <c r="B112"/>
      <c r="C112" s="76" t="e">
        <f>IF(AND($S$9="Swine",#REF!="BR",#REF!="liquid"),0.7,D112)</f>
        <v>#REF!</v>
      </c>
      <c r="D112" s="76" t="e">
        <f>IF(AND($S$9="Swine",#REF!="IN",#REF!="liquid"),0.8,E112)</f>
        <v>#REF!</v>
      </c>
      <c r="E112" s="76" t="e">
        <f>IF(AND($S$9="Swine",#REF!="IN",#REF!="liquid"),0.8,F112)</f>
        <v>#REF!</v>
      </c>
      <c r="F112" s="76" t="e">
        <f>IF(AND($S$9="Swine",#REF!="IN",#REF!="slurry"),0.8,G112)</f>
        <v>#REF!</v>
      </c>
      <c r="G112" s="76" t="e">
        <f>IF(AND($S$9="Swine",#REF!="SI",#REF!="slurry"),0.8,H112)</f>
        <v>#REF!</v>
      </c>
      <c r="H112" s="76" t="e">
        <f>IF(AND($S$9="Swine",#REF!="BR",#REF!="slurry"),0.7,I112)</f>
        <v>#REF!</v>
      </c>
      <c r="I112" s="76" t="e">
        <f>IF(AND($S$9="Swine",#REF!="BR",#REF!="sludge"),0.7,J112)</f>
        <v>#REF!</v>
      </c>
      <c r="J112" s="76" t="e">
        <f>IF(AND($S$9="Swine",#REF!="SI",#REF!="sludge"),0.8,K112)</f>
        <v>#REF!</v>
      </c>
      <c r="K112" s="76" t="e">
        <f>IF(AND($S$9="Swine",#REF!="IN",#REF!="sludge"),0.8,L112)</f>
        <v>#REF!</v>
      </c>
      <c r="L112" s="76" t="e">
        <f>IF(AND($S$9="Poultry",#REF!="SI",#REF!="sludge"),0.8,M112)</f>
        <v>#REF!</v>
      </c>
      <c r="M112" s="76" t="e">
        <f>IF(AND($S$9="Poultry",#REF!="BR",#REF!="sludge"),0.7,N112)</f>
        <v>#REF!</v>
      </c>
      <c r="N112" s="76" t="e">
        <f>IF(AND($S$9="Poultry",#REF!="IN",#REF!="sludge"),0.7,O112)</f>
        <v>#REF!</v>
      </c>
      <c r="O112" s="76" t="e">
        <f>IF(AND($S$9="Poultry",#REF!="IN",#REF!="slurry"),0.8,P112)</f>
        <v>#REF!</v>
      </c>
      <c r="P112" s="76" t="e">
        <f>IF(AND($S$9="Poultry",#REF!="BR",#REF!="slurry"),0.7,Q112)</f>
        <v>#REF!</v>
      </c>
      <c r="Q112" s="76" t="e">
        <f>IF(AND($S$9="Poultry",#REF!="SI",#REF!="slurry"),0.8,R112)</f>
        <v>#REF!</v>
      </c>
      <c r="R112" s="76" t="e">
        <f>IF(AND($S$9="Poultry",#REF!="SI",#REF!="liquid"),0.8,S112)</f>
        <v>#REF!</v>
      </c>
      <c r="S112" s="76" t="e">
        <f>IF(AND($S$9="Poultry",#REF!="BR",#REF!="liquid"),0.7,T112)</f>
        <v>#REF!</v>
      </c>
      <c r="T112" s="76" t="e">
        <f>IF(AND($S$9="Poultry",#REF!="IN",#REF!="liquid"),0.8,U112)</f>
        <v>#REF!</v>
      </c>
      <c r="U112" s="76" t="e">
        <f>IF(AND($S$9="Dairy",#REF!="IN",#REF!="slurry"),0.8,V112)</f>
        <v>#REF!</v>
      </c>
      <c r="V112" s="76" t="e">
        <f>IF(AND($S$9="Dairy",#REF!="BR",#REF!="slurry"),0.7,W112)</f>
        <v>#REF!</v>
      </c>
      <c r="W112" s="76" t="e">
        <f>IF(AND($S$9="Dairy",#REF!="SI",#REF!="slurry"),0.8,X112)</f>
        <v>#REF!</v>
      </c>
      <c r="X112" s="76" t="e">
        <f>IF(AND($S$9="Dairy",#REF!="BR",#REF!="DMSSSP"),0.6,Y112)</f>
        <v>#REF!</v>
      </c>
      <c r="Y112" s="76" t="e">
        <f>IF(AND($S$9="Dairy",#REF!="SI",#REF!="DMSSSP"),0.75,Z112)</f>
        <v>#REF!</v>
      </c>
    </row>
    <row r="113" spans="2:25" ht="12.75" hidden="1">
      <c r="B113"/>
      <c r="C113" s="76" t="e">
        <f>IF(AND($S$9="Swine",#REF!="BR",#REF!="liquid"),0.7,D113)</f>
        <v>#REF!</v>
      </c>
      <c r="D113" s="76" t="e">
        <f>IF(AND($S$9="Swine",#REF!="IN",#REF!="liquid"),0.8,E113)</f>
        <v>#REF!</v>
      </c>
      <c r="E113" s="76" t="e">
        <f>IF(AND($S$9="Swine",#REF!="IN",#REF!="liquid"),0.8,F113)</f>
        <v>#REF!</v>
      </c>
      <c r="F113" s="76" t="e">
        <f>IF(AND($S$9="Swine",#REF!="IN",#REF!="slurry"),0.8,G113)</f>
        <v>#REF!</v>
      </c>
      <c r="G113" s="76" t="e">
        <f>IF(AND($S$9="Swine",#REF!="SI",#REF!="slurry"),0.8,H113)</f>
        <v>#REF!</v>
      </c>
      <c r="H113" s="76" t="e">
        <f>IF(AND($S$9="Swine",#REF!="BR",#REF!="slurry"),0.7,I113)</f>
        <v>#REF!</v>
      </c>
      <c r="I113" s="76" t="e">
        <f>IF(AND($S$9="Swine",#REF!="BR",#REF!="sludge"),0.7,J113)</f>
        <v>#REF!</v>
      </c>
      <c r="J113" s="76" t="e">
        <f>IF(AND($S$9="Swine",#REF!="SI",#REF!="sludge"),0.8,K113)</f>
        <v>#REF!</v>
      </c>
      <c r="K113" s="76" t="e">
        <f>IF(AND($S$9="Swine",#REF!="IN",#REF!="sludge"),0.8,L113)</f>
        <v>#REF!</v>
      </c>
      <c r="L113" s="76" t="e">
        <f>IF(AND($S$9="Poultry",#REF!="SI",#REF!="sludge"),0.8,M113)</f>
        <v>#REF!</v>
      </c>
      <c r="M113" s="76" t="e">
        <f>IF(AND($S$9="Poultry",#REF!="BR",#REF!="sludge"),0.7,N113)</f>
        <v>#REF!</v>
      </c>
      <c r="N113" s="76" t="e">
        <f>IF(AND($S$9="Poultry",#REF!="IN",#REF!="sludge"),0.7,O113)</f>
        <v>#REF!</v>
      </c>
      <c r="O113" s="76" t="e">
        <f>IF(AND($S$9="Poultry",#REF!="IN",#REF!="slurry"),0.8,P113)</f>
        <v>#REF!</v>
      </c>
      <c r="P113" s="76" t="e">
        <f>IF(AND($S$9="Poultry",#REF!="BR",#REF!="slurry"),0.7,Q113)</f>
        <v>#REF!</v>
      </c>
      <c r="Q113" s="76" t="e">
        <f>IF(AND($S$9="Poultry",#REF!="SI",#REF!="slurry"),0.8,R113)</f>
        <v>#REF!</v>
      </c>
      <c r="R113" s="76" t="e">
        <f>IF(AND($S$9="Poultry",#REF!="SI",#REF!="liquid"),0.8,S113)</f>
        <v>#REF!</v>
      </c>
      <c r="S113" s="76" t="e">
        <f>IF(AND($S$9="Poultry",#REF!="BR",#REF!="liquid"),0.7,T113)</f>
        <v>#REF!</v>
      </c>
      <c r="T113" s="76" t="e">
        <f>IF(AND($S$9="Poultry",#REF!="IN",#REF!="liquid"),0.8,U113)</f>
        <v>#REF!</v>
      </c>
      <c r="U113" s="76" t="e">
        <f>IF(AND($S$9="Dairy",#REF!="IN",#REF!="slurry"),0.8,V113)</f>
        <v>#REF!</v>
      </c>
      <c r="V113" s="76" t="e">
        <f>IF(AND($S$9="Dairy",#REF!="BR",#REF!="slurry"),0.7,W113)</f>
        <v>#REF!</v>
      </c>
      <c r="W113" s="76" t="e">
        <f>IF(AND($S$9="Dairy",#REF!="SI",#REF!="slurry"),0.8,X113)</f>
        <v>#REF!</v>
      </c>
      <c r="X113" s="76" t="e">
        <f>IF(AND($S$9="Dairy",#REF!="BR",#REF!="DMSSSP"),0.6,Y113)</f>
        <v>#REF!</v>
      </c>
      <c r="Y113" s="76" t="e">
        <f>IF(AND($S$9="Dairy",#REF!="SI",#REF!="DMSSSP"),0.75,Z113)</f>
        <v>#REF!</v>
      </c>
    </row>
    <row r="114" spans="2:25" ht="12.75">
      <c r="B114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</row>
    <row r="115" spans="2:25" ht="12.7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 s="76"/>
      <c r="X115" s="76"/>
      <c r="Y115" s="76"/>
    </row>
    <row r="116" spans="2:25" ht="12.7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 s="76"/>
      <c r="X116" s="76"/>
      <c r="Y116" s="76"/>
    </row>
    <row r="117" spans="2:25" ht="12.7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 s="76"/>
      <c r="X117" s="76"/>
      <c r="Y117" s="76"/>
    </row>
    <row r="118" spans="2:25" ht="12.7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 s="76"/>
      <c r="X118" s="76"/>
      <c r="Y118" s="76"/>
    </row>
    <row r="119" spans="2:25" ht="12.7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 s="76"/>
      <c r="X119" s="76"/>
      <c r="Y119" s="76"/>
    </row>
    <row r="120" spans="2:25" ht="12.7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 s="76"/>
      <c r="X120" s="76"/>
      <c r="Y120" s="76"/>
    </row>
    <row r="121" spans="2:25" ht="12.7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 s="76"/>
      <c r="X121" s="76"/>
      <c r="Y121" s="76"/>
    </row>
    <row r="122" spans="2:25" ht="12.7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 s="76"/>
      <c r="X122" s="76"/>
      <c r="Y122" s="76"/>
    </row>
    <row r="123" spans="2:25" ht="12.7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 s="76"/>
      <c r="X123" s="76"/>
      <c r="Y123" s="76"/>
    </row>
    <row r="124" spans="2:25" ht="12.7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 s="76"/>
      <c r="X124" s="76"/>
      <c r="Y124" s="76"/>
    </row>
    <row r="125" spans="2:25" ht="12.7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 s="76"/>
      <c r="X125" s="76"/>
      <c r="Y125" s="76"/>
    </row>
    <row r="126" spans="2:25" ht="12.7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 s="76"/>
      <c r="X126" s="76"/>
      <c r="Y126" s="76"/>
    </row>
    <row r="127" spans="2:25" ht="12.7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 s="76"/>
      <c r="X127" s="76"/>
      <c r="Y127" s="76"/>
    </row>
    <row r="128" spans="2:25" ht="12.7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 s="76"/>
      <c r="X128" s="76"/>
      <c r="Y128" s="76"/>
    </row>
    <row r="129" spans="2:25" ht="12.7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 s="76"/>
      <c r="X129" s="76"/>
      <c r="Y129" s="76"/>
    </row>
    <row r="130" spans="2:25" ht="12.7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 s="76"/>
      <c r="X130" s="76"/>
      <c r="Y130" s="76"/>
    </row>
    <row r="131" spans="2:25" ht="12.7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 s="76"/>
      <c r="X131" s="76"/>
      <c r="Y131" s="76"/>
    </row>
    <row r="132" spans="2:25" ht="12.7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 s="76"/>
      <c r="X132" s="76"/>
      <c r="Y132" s="76"/>
    </row>
    <row r="133" spans="2:25" ht="12.7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 s="76"/>
      <c r="X133" s="76"/>
      <c r="Y133" s="76"/>
    </row>
    <row r="134" spans="2:25" ht="12.7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 s="76"/>
      <c r="X134" s="76"/>
      <c r="Y134" s="76"/>
    </row>
    <row r="135" spans="2:25" ht="12.7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 s="76"/>
      <c r="X135" s="76"/>
      <c r="Y135" s="76"/>
    </row>
    <row r="136" spans="2:25" ht="12.7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 s="76"/>
      <c r="X136" s="76"/>
      <c r="Y136" s="76"/>
    </row>
    <row r="137" spans="2:25" ht="12.7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 s="76"/>
      <c r="X137" s="76"/>
      <c r="Y137" s="76"/>
    </row>
    <row r="138" spans="2:25" ht="12.7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 s="76"/>
      <c r="X138" s="76"/>
      <c r="Y138" s="76"/>
    </row>
    <row r="139" spans="2:25" ht="12.7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 s="76"/>
      <c r="X139" s="76"/>
      <c r="Y139" s="76"/>
    </row>
    <row r="140" spans="2:25" ht="12.7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 s="76"/>
      <c r="X140" s="76"/>
      <c r="Y140" s="76"/>
    </row>
    <row r="141" spans="2:25" ht="12.7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 s="76"/>
      <c r="X141" s="76"/>
      <c r="Y141" s="76"/>
    </row>
    <row r="142" spans="2:25" ht="12.7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 s="76"/>
      <c r="X142" s="76"/>
      <c r="Y142" s="76"/>
    </row>
    <row r="143" spans="2:25" ht="12.7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 s="76"/>
      <c r="X143" s="76"/>
      <c r="Y143" s="76"/>
    </row>
  </sheetData>
  <sheetProtection password="C903" sheet="1" objects="1" scenarios="1"/>
  <mergeCells count="54">
    <mergeCell ref="Q45:V45"/>
    <mergeCell ref="P23:Q23"/>
    <mergeCell ref="L15:L20"/>
    <mergeCell ref="O12:R13"/>
    <mergeCell ref="R15:S19"/>
    <mergeCell ref="M17:M20"/>
    <mergeCell ref="P30:Q30"/>
    <mergeCell ref="R23:S23"/>
    <mergeCell ref="R24:S24"/>
    <mergeCell ref="R25:S25"/>
    <mergeCell ref="R30:S30"/>
    <mergeCell ref="E6:G6"/>
    <mergeCell ref="P21:Q21"/>
    <mergeCell ref="P22:Q22"/>
    <mergeCell ref="Q6:S6"/>
    <mergeCell ref="E12:G13"/>
    <mergeCell ref="P15:Q19"/>
    <mergeCell ref="R21:S21"/>
    <mergeCell ref="R22:S22"/>
    <mergeCell ref="E7:G7"/>
    <mergeCell ref="V17:V20"/>
    <mergeCell ref="E10:G10"/>
    <mergeCell ref="K7:N7"/>
    <mergeCell ref="K8:N9"/>
    <mergeCell ref="K10:N10"/>
    <mergeCell ref="E8:G9"/>
    <mergeCell ref="B35:L35"/>
    <mergeCell ref="K5:L5"/>
    <mergeCell ref="M5:N5"/>
    <mergeCell ref="E34:H34"/>
    <mergeCell ref="L33:Q33"/>
    <mergeCell ref="L34:Q34"/>
    <mergeCell ref="P28:Q28"/>
    <mergeCell ref="P29:Q29"/>
    <mergeCell ref="K12:N13"/>
    <mergeCell ref="E33:H33"/>
    <mergeCell ref="P32:S32"/>
    <mergeCell ref="K32:M32"/>
    <mergeCell ref="D32:E32"/>
    <mergeCell ref="R28:S28"/>
    <mergeCell ref="R29:S29"/>
    <mergeCell ref="P25:Q25"/>
    <mergeCell ref="R26:S26"/>
    <mergeCell ref="P26:Q26"/>
    <mergeCell ref="T5:U5"/>
    <mergeCell ref="S7:T7"/>
    <mergeCell ref="P27:Q27"/>
    <mergeCell ref="P24:Q24"/>
    <mergeCell ref="R27:S27"/>
    <mergeCell ref="S12:V13"/>
    <mergeCell ref="S9:T9"/>
    <mergeCell ref="T15:V16"/>
    <mergeCell ref="T17:T20"/>
    <mergeCell ref="U17:U20"/>
  </mergeCells>
  <dataValidations count="11">
    <dataValidation type="date" showInputMessage="1" showErrorMessage="1" prompt="Enter date in following format:&#10;mm/dd/yr&#10;Example: 04/13/06" error="Enter date in following format:&#10;mm/dd/yr&#10;Example: 04/13/06" sqref="C21:C31">
      <formula1>36412</formula1>
      <formula2>65998</formula2>
    </dataValidation>
    <dataValidation type="whole" operator="greaterThan" showInputMessage="1" showErrorMessage="1" sqref="E21:E31">
      <formula1>0</formula1>
    </dataValidation>
    <dataValidation type="whole" operator="greaterThan" allowBlank="1" showInputMessage="1" showErrorMessage="1" sqref="F21:F31">
      <formula1>0</formula1>
    </dataValidation>
    <dataValidation operator="greaterThan" allowBlank="1" showInputMessage="1" showErrorMessage="1" sqref="G21:G31 N21:O31"/>
    <dataValidation operator="greaterThan" showInputMessage="1" showErrorMessage="1" sqref="D21:D31"/>
    <dataValidation type="list" allowBlank="1" showInputMessage="1" showErrorMessage="1" prompt="Select operation type from the drop down list." sqref="R9:S9">
      <formula1>"Swine,Poultry,Dairy"</formula1>
    </dataValidation>
    <dataValidation showInputMessage="1" showErrorMessage="1" sqref="K21"/>
    <dataValidation type="custom" showInputMessage="1" showErrorMessage="1" prompt="Enter type of waste. &#10;liquid&#10;slurry&#10;sludge&#10;For dairy operations choose slurry." error="Entry must be from the following:&#10;liquid&#10;slurry&#10;sludge&#10;Dairy operations must choose slurry." sqref="I22:I31">
      <formula1>IF($S$9="Dairy",I22="slurry",10)</formula1>
    </dataValidation>
    <dataValidation type="list" showInputMessage="1" showErrorMessage="1" prompt="Select the weather code from the drop down list.&#10;c-    Clear&#10;pc-  Partly Cloudy&#10;cl -  Cloudy&#10;r -   Rain&#10;s -   Snow/Sleet&#10;w -  Windy" error="Enter weather code as shown below.&#10;c   &#10;pc&#10;cl&#10;r&#10;s&#10;w" sqref="T21:V31">
      <formula1>"c,pc,cl,r,s,w"</formula1>
    </dataValidation>
    <dataValidation type="list" showInputMessage="1" showErrorMessage="1" prompt="Select application method from the drop down list.&#10;si = Soil Incorporated&#10;        (disked)&#10;br = Broadcast  &#10;         (surface applied)&#10;in = Injected&#10;         (for liquid, slurry, or sludge&#10;           only)" error="Enter application method as shown below.&#10;si &#10;br&#10;in " sqref="H21:H31">
      <formula1>"si,br,in"</formula1>
    </dataValidation>
    <dataValidation type="list" showInputMessage="1" showErrorMessage="1" prompt="Select type of waste from the&#10;drop down list. &#10;   liquid&#10;   slurry&#10;   sludge&#10;   msssp = manure surface &#10;                 scraped or stockpiled&#10;&#10;For dairys choose slurry or msssp only.&#10;For poultry choose liquid, slurry, or sludge&#10;only.&#10;" error="Entry must be from the following:&#10;liquid&#10;slurry&#10;sludge&#10;Dairy operations must choose slurry." sqref="I21">
      <formula1>"liquid,slurry,sludge,msssp"</formula1>
    </dataValidation>
  </dataValidations>
  <printOptions/>
  <pageMargins left="0.1" right="0.1" top="0" bottom="0" header="0" footer="0"/>
  <pageSetup horizontalDpi="1200" verticalDpi="1200" orientation="landscape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N142"/>
  <sheetViews>
    <sheetView showGridLines="0" workbookViewId="0" topLeftCell="A1">
      <selection activeCell="P51" sqref="P51"/>
    </sheetView>
  </sheetViews>
  <sheetFormatPr defaultColWidth="9.140625" defaultRowHeight="12.75"/>
  <cols>
    <col min="1" max="1" width="0.9921875" style="1" customWidth="1"/>
    <col min="2" max="2" width="5.57421875" style="1" customWidth="1"/>
    <col min="3" max="3" width="8.140625" style="1" customWidth="1"/>
    <col min="4" max="4" width="7.28125" style="1" customWidth="1"/>
    <col min="5" max="5" width="8.57421875" style="1" customWidth="1"/>
    <col min="6" max="6" width="7.57421875" style="1" customWidth="1"/>
    <col min="7" max="7" width="9.140625" style="1" customWidth="1"/>
    <col min="8" max="8" width="8.28125" style="1" customWidth="1"/>
    <col min="9" max="9" width="7.00390625" style="1" customWidth="1"/>
    <col min="10" max="10" width="8.140625" style="1" customWidth="1"/>
    <col min="11" max="11" width="7.8515625" style="1" customWidth="1"/>
    <col min="12" max="12" width="5.421875" style="1" customWidth="1"/>
    <col min="13" max="13" width="7.421875" style="1" customWidth="1"/>
    <col min="14" max="14" width="7.28125" style="1" customWidth="1"/>
    <col min="15" max="15" width="7.140625" style="1" customWidth="1"/>
    <col min="16" max="16" width="3.28125" style="1" customWidth="1"/>
    <col min="17" max="17" width="5.8515625" style="1" customWidth="1"/>
    <col min="18" max="18" width="3.140625" style="1" customWidth="1"/>
    <col min="19" max="19" width="6.7109375" style="1" customWidth="1"/>
    <col min="20" max="21" width="3.57421875" style="1" customWidth="1"/>
    <col min="22" max="22" width="3.28125" style="1" customWidth="1"/>
    <col min="23" max="23" width="6.421875" style="42" customWidth="1"/>
    <col min="24" max="24" width="7.28125" style="42" customWidth="1"/>
    <col min="25" max="25" width="8.421875" style="42" customWidth="1"/>
    <col min="26" max="16384" width="9.140625" style="42" customWidth="1"/>
  </cols>
  <sheetData>
    <row r="1" spans="1:40" ht="12.75">
      <c r="A1" s="12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40" ht="13.5">
      <c r="A2" s="12"/>
      <c r="B2" s="3" t="s">
        <v>206</v>
      </c>
      <c r="C2" s="3"/>
      <c r="D2" s="3"/>
      <c r="E2" s="3"/>
      <c r="F2" s="12"/>
      <c r="G2" s="42"/>
      <c r="H2" s="5" t="s">
        <v>99</v>
      </c>
      <c r="I2" s="12"/>
      <c r="J2" s="1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1:40" ht="12.75">
      <c r="A3" s="12"/>
      <c r="B3" s="5"/>
      <c r="C3" s="5"/>
      <c r="D3" s="4"/>
      <c r="E3" s="4"/>
      <c r="F3" s="5"/>
      <c r="G3" s="12"/>
      <c r="H3" s="5" t="s">
        <v>66</v>
      </c>
      <c r="I3" s="12"/>
      <c r="J3" s="12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1:40" ht="12.75">
      <c r="A4" s="1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</row>
    <row r="5" spans="1:40" ht="12.75">
      <c r="A5" s="12"/>
      <c r="B5" s="5"/>
      <c r="C5" s="5"/>
      <c r="D5" s="5" t="s">
        <v>90</v>
      </c>
      <c r="E5" s="6"/>
      <c r="F5" s="18" t="s">
        <v>1</v>
      </c>
      <c r="G5" s="6"/>
      <c r="H5" s="28"/>
      <c r="I5" s="28"/>
      <c r="J5" s="28"/>
      <c r="K5" s="163" t="s">
        <v>2</v>
      </c>
      <c r="L5" s="164"/>
      <c r="M5" s="165"/>
      <c r="N5" s="165"/>
      <c r="O5" s="13"/>
      <c r="P5" s="12"/>
      <c r="Q5" s="12"/>
      <c r="R5" s="12"/>
      <c r="S5" s="12"/>
      <c r="T5" s="13"/>
      <c r="U5" s="13"/>
      <c r="V5" s="28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</row>
    <row r="6" spans="1:40" ht="12.75">
      <c r="A6" s="12"/>
      <c r="B6" s="12"/>
      <c r="C6" s="5"/>
      <c r="D6" s="7" t="s">
        <v>108</v>
      </c>
      <c r="E6" s="230"/>
      <c r="F6" s="231"/>
      <c r="G6" s="232"/>
      <c r="H6" s="28"/>
      <c r="I6" s="28"/>
      <c r="J6" s="28"/>
      <c r="K6" s="28"/>
      <c r="L6" s="28"/>
      <c r="M6" s="28"/>
      <c r="N6" s="28"/>
      <c r="O6" s="28"/>
      <c r="P6" s="28"/>
      <c r="Q6" s="236"/>
      <c r="R6" s="236"/>
      <c r="S6" s="236"/>
      <c r="T6" s="28"/>
      <c r="U6" s="28"/>
      <c r="V6" s="28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12.75" customHeight="1">
      <c r="A7" s="12"/>
      <c r="B7" s="5"/>
      <c r="C7" s="7"/>
      <c r="D7" s="7" t="s">
        <v>3</v>
      </c>
      <c r="E7" s="160"/>
      <c r="F7" s="154"/>
      <c r="G7" s="211"/>
      <c r="H7" s="7"/>
      <c r="I7" s="7"/>
      <c r="J7" s="7" t="s">
        <v>50</v>
      </c>
      <c r="K7" s="160"/>
      <c r="L7" s="154"/>
      <c r="M7" s="200"/>
      <c r="N7" s="201"/>
      <c r="O7" s="13"/>
      <c r="P7" s="13" t="s">
        <v>86</v>
      </c>
      <c r="Q7" s="13"/>
      <c r="R7" s="13"/>
      <c r="S7" s="165"/>
      <c r="T7" s="165"/>
      <c r="U7" s="13"/>
      <c r="V7" s="28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</row>
    <row r="8" spans="1:40" ht="12.75">
      <c r="A8" s="12"/>
      <c r="B8" s="5"/>
      <c r="C8" s="7"/>
      <c r="D8" s="7" t="s">
        <v>5</v>
      </c>
      <c r="E8" s="202"/>
      <c r="F8" s="203"/>
      <c r="G8" s="212"/>
      <c r="H8" s="15"/>
      <c r="I8" s="15"/>
      <c r="J8" s="7" t="s">
        <v>51</v>
      </c>
      <c r="K8" s="202"/>
      <c r="L8" s="203"/>
      <c r="M8" s="204"/>
      <c r="N8" s="205"/>
      <c r="O8" s="123" t="s">
        <v>195</v>
      </c>
      <c r="P8" s="12"/>
      <c r="Q8" s="12"/>
      <c r="R8" s="12"/>
      <c r="S8" s="12"/>
      <c r="T8" s="12"/>
      <c r="U8" s="12"/>
      <c r="V8" s="28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</row>
    <row r="9" spans="1:40" ht="12.75">
      <c r="A9" s="12"/>
      <c r="B9" s="5"/>
      <c r="C9" s="5"/>
      <c r="D9" s="7"/>
      <c r="E9" s="213"/>
      <c r="F9" s="214"/>
      <c r="G9" s="215"/>
      <c r="H9" s="28"/>
      <c r="I9" s="28"/>
      <c r="J9" s="7" t="s">
        <v>46</v>
      </c>
      <c r="K9" s="206"/>
      <c r="L9" s="207"/>
      <c r="M9" s="207"/>
      <c r="N9" s="208"/>
      <c r="O9" s="14"/>
      <c r="P9" s="13" t="s">
        <v>89</v>
      </c>
      <c r="Q9" s="12"/>
      <c r="R9" s="14"/>
      <c r="S9" s="237"/>
      <c r="T9" s="237"/>
      <c r="U9" s="14"/>
      <c r="V9" s="28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</row>
    <row r="10" spans="1:40" ht="12.75" customHeight="1">
      <c r="A10" s="12"/>
      <c r="B10" s="5"/>
      <c r="C10" s="7"/>
      <c r="D10" s="7" t="s">
        <v>7</v>
      </c>
      <c r="E10" s="160"/>
      <c r="F10" s="154"/>
      <c r="G10" s="211"/>
      <c r="H10" s="28"/>
      <c r="I10" s="28"/>
      <c r="J10" s="7" t="s">
        <v>47</v>
      </c>
      <c r="K10" s="160"/>
      <c r="L10" s="154"/>
      <c r="M10" s="200"/>
      <c r="N10" s="201"/>
      <c r="O10" s="141" t="s">
        <v>194</v>
      </c>
      <c r="P10" s="12"/>
      <c r="Q10" s="13"/>
      <c r="R10" s="12"/>
      <c r="S10" s="12"/>
      <c r="T10" s="12"/>
      <c r="U10" s="12"/>
      <c r="V10" s="12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</row>
    <row r="11" spans="1:40" ht="12.75" customHeight="1">
      <c r="A11" s="12"/>
      <c r="B11" s="5"/>
      <c r="C11" s="5"/>
      <c r="D11" s="7"/>
      <c r="E11" s="4"/>
      <c r="F11" s="4"/>
      <c r="G11" s="12"/>
      <c r="H11" s="25" t="s">
        <v>119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19"/>
      <c r="T11" s="19"/>
      <c r="U11" s="19"/>
      <c r="V11" s="19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</row>
    <row r="12" spans="1:40" ht="16.5" customHeight="1">
      <c r="A12" s="12"/>
      <c r="B12" s="5"/>
      <c r="C12" s="5"/>
      <c r="D12" s="7" t="s">
        <v>8</v>
      </c>
      <c r="E12" s="216"/>
      <c r="F12" s="216"/>
      <c r="G12" s="216"/>
      <c r="H12" s="28"/>
      <c r="I12" s="28"/>
      <c r="J12" s="7" t="s">
        <v>9</v>
      </c>
      <c r="K12" s="209"/>
      <c r="L12" s="333"/>
      <c r="M12" s="333"/>
      <c r="N12" s="166" t="s">
        <v>109</v>
      </c>
      <c r="O12" s="161"/>
      <c r="P12" s="161"/>
      <c r="Q12" s="159"/>
      <c r="R12" s="238"/>
      <c r="S12" s="239"/>
      <c r="T12" s="239"/>
      <c r="U12" s="239"/>
      <c r="V12" s="240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</row>
    <row r="13" spans="1:40" ht="12.75" customHeight="1">
      <c r="A13" s="12"/>
      <c r="B13" s="5"/>
      <c r="C13" s="5"/>
      <c r="D13" s="5"/>
      <c r="E13" s="216"/>
      <c r="F13" s="216"/>
      <c r="G13" s="216"/>
      <c r="H13" s="28"/>
      <c r="I13" s="28"/>
      <c r="J13" s="7" t="s">
        <v>10</v>
      </c>
      <c r="K13" s="333"/>
      <c r="L13" s="333"/>
      <c r="M13" s="333"/>
      <c r="N13" s="161"/>
      <c r="O13" s="161"/>
      <c r="P13" s="161"/>
      <c r="Q13" s="159"/>
      <c r="R13" s="241"/>
      <c r="S13" s="242"/>
      <c r="T13" s="242"/>
      <c r="U13" s="242"/>
      <c r="V13" s="243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</row>
    <row r="14" spans="1:40" s="151" customFormat="1" ht="12.75">
      <c r="A14" s="20"/>
      <c r="B14" s="10"/>
      <c r="C14" s="17" t="s">
        <v>11</v>
      </c>
      <c r="D14" s="17" t="s">
        <v>12</v>
      </c>
      <c r="E14" s="17" t="s">
        <v>13</v>
      </c>
      <c r="F14" s="26" t="s">
        <v>14</v>
      </c>
      <c r="G14" s="26" t="s">
        <v>15</v>
      </c>
      <c r="H14" s="17" t="s">
        <v>16</v>
      </c>
      <c r="I14" s="17" t="s">
        <v>17</v>
      </c>
      <c r="J14" s="17" t="s">
        <v>18</v>
      </c>
      <c r="K14" s="17" t="s">
        <v>19</v>
      </c>
      <c r="L14" s="17" t="s">
        <v>20</v>
      </c>
      <c r="M14" s="17" t="s">
        <v>21</v>
      </c>
      <c r="N14" s="17" t="s">
        <v>40</v>
      </c>
      <c r="O14" s="17" t="s">
        <v>44</v>
      </c>
      <c r="P14" s="17"/>
      <c r="Q14" s="16" t="s">
        <v>45</v>
      </c>
      <c r="R14" s="11"/>
      <c r="S14" s="49" t="s">
        <v>93</v>
      </c>
      <c r="T14" s="11"/>
      <c r="U14" s="65" t="s">
        <v>31</v>
      </c>
      <c r="V14" s="23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</row>
    <row r="15" spans="1:40" ht="12.75" customHeight="1">
      <c r="A15" s="12"/>
      <c r="B15" s="38"/>
      <c r="C15" s="39"/>
      <c r="D15" s="39"/>
      <c r="E15" s="39"/>
      <c r="F15" s="39"/>
      <c r="G15" s="40"/>
      <c r="H15" s="39"/>
      <c r="I15" s="41"/>
      <c r="J15" s="41"/>
      <c r="K15" s="12"/>
      <c r="L15" s="233" t="s">
        <v>125</v>
      </c>
      <c r="M15" s="43" t="s">
        <v>68</v>
      </c>
      <c r="N15" s="52"/>
      <c r="O15" s="43" t="s">
        <v>25</v>
      </c>
      <c r="P15" s="191" t="s">
        <v>126</v>
      </c>
      <c r="Q15" s="192"/>
      <c r="R15" s="191" t="s">
        <v>127</v>
      </c>
      <c r="S15" s="192"/>
      <c r="T15" s="191" t="s">
        <v>128</v>
      </c>
      <c r="U15" s="197"/>
      <c r="V15" s="198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</row>
    <row r="16" spans="1:40" ht="13.5" customHeight="1">
      <c r="A16" s="12"/>
      <c r="B16" s="40"/>
      <c r="C16" s="40"/>
      <c r="D16" s="41"/>
      <c r="E16" s="42"/>
      <c r="F16" s="43" t="s">
        <v>25</v>
      </c>
      <c r="G16" s="43" t="s">
        <v>103</v>
      </c>
      <c r="H16" s="41"/>
      <c r="I16" s="42"/>
      <c r="J16" s="43" t="s">
        <v>41</v>
      </c>
      <c r="K16" s="43" t="s">
        <v>41</v>
      </c>
      <c r="L16" s="234"/>
      <c r="M16" s="43" t="s">
        <v>41</v>
      </c>
      <c r="N16" s="43" t="s">
        <v>30</v>
      </c>
      <c r="O16" s="53" t="s">
        <v>106</v>
      </c>
      <c r="P16" s="193"/>
      <c r="Q16" s="194"/>
      <c r="R16" s="193"/>
      <c r="S16" s="194"/>
      <c r="T16" s="199"/>
      <c r="U16" s="170"/>
      <c r="V16" s="171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</row>
    <row r="17" spans="1:40" ht="12.75">
      <c r="A17" s="12"/>
      <c r="B17" s="43" t="s">
        <v>95</v>
      </c>
      <c r="C17" s="43" t="s">
        <v>23</v>
      </c>
      <c r="D17" s="43" t="s">
        <v>53</v>
      </c>
      <c r="E17" s="43" t="s">
        <v>100</v>
      </c>
      <c r="F17" s="43" t="s">
        <v>102</v>
      </c>
      <c r="G17" s="43" t="s">
        <v>59</v>
      </c>
      <c r="H17" s="43" t="s">
        <v>62</v>
      </c>
      <c r="I17" s="43" t="s">
        <v>85</v>
      </c>
      <c r="J17" s="43" t="s">
        <v>42</v>
      </c>
      <c r="K17" s="43" t="s">
        <v>42</v>
      </c>
      <c r="L17" s="234"/>
      <c r="M17" s="217" t="s">
        <v>107</v>
      </c>
      <c r="N17" s="43" t="s">
        <v>39</v>
      </c>
      <c r="O17" s="53" t="s">
        <v>39</v>
      </c>
      <c r="P17" s="193"/>
      <c r="Q17" s="194"/>
      <c r="R17" s="193"/>
      <c r="S17" s="194"/>
      <c r="T17" s="172" t="s">
        <v>120</v>
      </c>
      <c r="U17" s="172" t="s">
        <v>122</v>
      </c>
      <c r="V17" s="168" t="s">
        <v>121</v>
      </c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</row>
    <row r="18" spans="1:40" ht="14.25" customHeight="1">
      <c r="A18" s="12"/>
      <c r="B18" s="43" t="s">
        <v>96</v>
      </c>
      <c r="C18" s="43" t="s">
        <v>27</v>
      </c>
      <c r="D18" s="43" t="s">
        <v>54</v>
      </c>
      <c r="E18" s="43" t="s">
        <v>117</v>
      </c>
      <c r="F18" s="43" t="s">
        <v>101</v>
      </c>
      <c r="G18" s="43" t="s">
        <v>104</v>
      </c>
      <c r="H18" s="43" t="s">
        <v>118</v>
      </c>
      <c r="I18" s="43" t="s">
        <v>123</v>
      </c>
      <c r="J18" s="43" t="s">
        <v>124</v>
      </c>
      <c r="K18" s="43" t="s">
        <v>129</v>
      </c>
      <c r="L18" s="234"/>
      <c r="M18" s="218"/>
      <c r="N18" s="43" t="s">
        <v>26</v>
      </c>
      <c r="O18" s="53" t="s">
        <v>26</v>
      </c>
      <c r="P18" s="193"/>
      <c r="Q18" s="194"/>
      <c r="R18" s="193"/>
      <c r="S18" s="194"/>
      <c r="T18" s="173"/>
      <c r="U18" s="173"/>
      <c r="V18" s="169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</row>
    <row r="19" spans="1:40" ht="13.5" customHeight="1">
      <c r="A19" s="12"/>
      <c r="B19" s="44"/>
      <c r="C19" s="40"/>
      <c r="D19" s="43" t="s">
        <v>55</v>
      </c>
      <c r="E19" s="43" t="s">
        <v>101</v>
      </c>
      <c r="F19" s="43" t="s">
        <v>57</v>
      </c>
      <c r="G19" s="43" t="s">
        <v>61</v>
      </c>
      <c r="H19" s="41"/>
      <c r="I19" s="42"/>
      <c r="J19" s="43" t="s">
        <v>105</v>
      </c>
      <c r="K19" s="43" t="s">
        <v>105</v>
      </c>
      <c r="L19" s="234"/>
      <c r="M19" s="218"/>
      <c r="N19" s="43" t="s">
        <v>64</v>
      </c>
      <c r="O19" s="53" t="s">
        <v>94</v>
      </c>
      <c r="P19" s="195"/>
      <c r="Q19" s="196"/>
      <c r="R19" s="195"/>
      <c r="S19" s="196"/>
      <c r="T19" s="173"/>
      <c r="U19" s="173"/>
      <c r="V19" s="169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</row>
    <row r="20" spans="1:40" ht="13.5" customHeight="1">
      <c r="A20" s="12"/>
      <c r="B20" s="45"/>
      <c r="C20" s="45"/>
      <c r="D20" s="46" t="s">
        <v>31</v>
      </c>
      <c r="E20" s="45"/>
      <c r="F20" s="47"/>
      <c r="G20" s="47"/>
      <c r="H20" s="48"/>
      <c r="I20" s="54"/>
      <c r="J20" s="55"/>
      <c r="K20" s="51"/>
      <c r="L20" s="235"/>
      <c r="M20" s="219"/>
      <c r="N20" s="54"/>
      <c r="O20" s="55"/>
      <c r="P20" s="66" t="s">
        <v>33</v>
      </c>
      <c r="Q20" s="134"/>
      <c r="R20" s="66" t="s">
        <v>43</v>
      </c>
      <c r="S20" s="134"/>
      <c r="T20" s="167"/>
      <c r="U20" s="167"/>
      <c r="V20" s="162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</row>
    <row r="21" spans="1:40" ht="12.75" customHeight="1">
      <c r="A21" s="12"/>
      <c r="B21" s="56"/>
      <c r="C21" s="63"/>
      <c r="D21" s="58"/>
      <c r="E21" s="59"/>
      <c r="F21" s="130"/>
      <c r="G21" s="130"/>
      <c r="H21" s="59"/>
      <c r="I21" s="59"/>
      <c r="J21" s="61"/>
      <c r="K21" s="118"/>
      <c r="L21" s="61"/>
      <c r="M21" s="61"/>
      <c r="N21" s="131"/>
      <c r="O21" s="131"/>
      <c r="P21" s="326"/>
      <c r="Q21" s="332"/>
      <c r="R21" s="326"/>
      <c r="S21" s="332"/>
      <c r="T21" s="64"/>
      <c r="U21" s="61"/>
      <c r="V21" s="61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</row>
    <row r="22" spans="1:40" ht="12.75" customHeight="1">
      <c r="A22" s="12"/>
      <c r="B22" s="56"/>
      <c r="C22" s="57"/>
      <c r="D22" s="58"/>
      <c r="E22" s="59"/>
      <c r="F22" s="130"/>
      <c r="G22" s="130"/>
      <c r="H22" s="59"/>
      <c r="I22" s="59"/>
      <c r="J22" s="61"/>
      <c r="K22" s="61"/>
      <c r="L22" s="61"/>
      <c r="M22" s="61"/>
      <c r="N22" s="131"/>
      <c r="O22" s="131"/>
      <c r="P22" s="326"/>
      <c r="Q22" s="332"/>
      <c r="R22" s="326"/>
      <c r="S22" s="332"/>
      <c r="T22" s="64"/>
      <c r="U22" s="61"/>
      <c r="V22" s="61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</row>
    <row r="23" spans="1:40" ht="12.75" customHeight="1">
      <c r="A23" s="12"/>
      <c r="B23" s="56"/>
      <c r="C23" s="57"/>
      <c r="D23" s="58"/>
      <c r="E23" s="59"/>
      <c r="F23" s="130"/>
      <c r="G23" s="130"/>
      <c r="H23" s="59"/>
      <c r="I23" s="59"/>
      <c r="J23" s="61"/>
      <c r="K23" s="61"/>
      <c r="L23" s="61"/>
      <c r="M23" s="61"/>
      <c r="N23" s="131"/>
      <c r="O23" s="131"/>
      <c r="P23" s="326"/>
      <c r="Q23" s="332"/>
      <c r="R23" s="326"/>
      <c r="S23" s="332"/>
      <c r="T23" s="64"/>
      <c r="U23" s="61"/>
      <c r="V23" s="61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</row>
    <row r="24" spans="1:40" ht="12.75" customHeight="1">
      <c r="A24" s="12"/>
      <c r="B24" s="56"/>
      <c r="C24" s="57"/>
      <c r="D24" s="58"/>
      <c r="E24" s="59"/>
      <c r="F24" s="130"/>
      <c r="G24" s="130"/>
      <c r="H24" s="59"/>
      <c r="I24" s="59"/>
      <c r="J24" s="61"/>
      <c r="K24" s="61"/>
      <c r="L24" s="61"/>
      <c r="M24" s="61"/>
      <c r="N24" s="131"/>
      <c r="O24" s="131"/>
      <c r="P24" s="326"/>
      <c r="Q24" s="332"/>
      <c r="R24" s="326"/>
      <c r="S24" s="332"/>
      <c r="T24" s="64"/>
      <c r="U24" s="61"/>
      <c r="V24" s="61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</row>
    <row r="25" spans="1:40" ht="12.75" customHeight="1">
      <c r="A25" s="12"/>
      <c r="B25" s="56"/>
      <c r="C25" s="57"/>
      <c r="D25" s="58"/>
      <c r="E25" s="59"/>
      <c r="F25" s="130"/>
      <c r="G25" s="130"/>
      <c r="H25" s="59"/>
      <c r="I25" s="59"/>
      <c r="J25" s="61"/>
      <c r="K25" s="61"/>
      <c r="L25" s="61"/>
      <c r="M25" s="61"/>
      <c r="N25" s="131"/>
      <c r="O25" s="131"/>
      <c r="P25" s="326"/>
      <c r="Q25" s="332"/>
      <c r="R25" s="326"/>
      <c r="S25" s="332"/>
      <c r="T25" s="64"/>
      <c r="U25" s="61"/>
      <c r="V25" s="61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</row>
    <row r="26" spans="1:40" ht="12.75" customHeight="1">
      <c r="A26" s="12"/>
      <c r="B26" s="56"/>
      <c r="C26" s="57"/>
      <c r="D26" s="58"/>
      <c r="E26" s="59"/>
      <c r="F26" s="130"/>
      <c r="G26" s="130"/>
      <c r="H26" s="59"/>
      <c r="I26" s="59"/>
      <c r="J26" s="61"/>
      <c r="K26" s="61"/>
      <c r="L26" s="61"/>
      <c r="M26" s="61"/>
      <c r="N26" s="131"/>
      <c r="O26" s="131"/>
      <c r="P26" s="326"/>
      <c r="Q26" s="332"/>
      <c r="R26" s="326"/>
      <c r="S26" s="332"/>
      <c r="T26" s="64"/>
      <c r="U26" s="61"/>
      <c r="V26" s="61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</row>
    <row r="27" spans="1:40" ht="12.75" customHeight="1">
      <c r="A27" s="12"/>
      <c r="B27" s="56"/>
      <c r="C27" s="57"/>
      <c r="D27" s="58"/>
      <c r="E27" s="59"/>
      <c r="F27" s="130"/>
      <c r="G27" s="130"/>
      <c r="H27" s="59"/>
      <c r="I27" s="59"/>
      <c r="J27" s="61"/>
      <c r="K27" s="61"/>
      <c r="L27" s="61"/>
      <c r="M27" s="61"/>
      <c r="N27" s="131"/>
      <c r="O27" s="131"/>
      <c r="P27" s="326"/>
      <c r="Q27" s="332"/>
      <c r="R27" s="326"/>
      <c r="S27" s="332"/>
      <c r="T27" s="64"/>
      <c r="U27" s="61"/>
      <c r="V27" s="61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</row>
    <row r="28" spans="1:40" ht="12.75" customHeight="1">
      <c r="A28" s="12"/>
      <c r="B28" s="56"/>
      <c r="C28" s="57"/>
      <c r="D28" s="58"/>
      <c r="E28" s="59"/>
      <c r="F28" s="130"/>
      <c r="G28" s="130"/>
      <c r="H28" s="59"/>
      <c r="I28" s="59"/>
      <c r="J28" s="61"/>
      <c r="K28" s="61"/>
      <c r="L28" s="61"/>
      <c r="M28" s="61"/>
      <c r="N28" s="131"/>
      <c r="O28" s="131"/>
      <c r="P28" s="326"/>
      <c r="Q28" s="332"/>
      <c r="R28" s="326"/>
      <c r="S28" s="332"/>
      <c r="T28" s="64"/>
      <c r="U28" s="61"/>
      <c r="V28" s="61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</row>
    <row r="29" spans="1:40" ht="12.75" customHeight="1">
      <c r="A29" s="12"/>
      <c r="B29" s="56"/>
      <c r="C29" s="57"/>
      <c r="D29" s="58"/>
      <c r="E29" s="59"/>
      <c r="F29" s="130"/>
      <c r="G29" s="130"/>
      <c r="H29" s="59"/>
      <c r="I29" s="59"/>
      <c r="J29" s="61"/>
      <c r="K29" s="61"/>
      <c r="L29" s="61"/>
      <c r="M29" s="61"/>
      <c r="N29" s="131"/>
      <c r="O29" s="131"/>
      <c r="P29" s="326"/>
      <c r="Q29" s="332"/>
      <c r="R29" s="326"/>
      <c r="S29" s="332"/>
      <c r="T29" s="64"/>
      <c r="U29" s="61"/>
      <c r="V29" s="61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</row>
    <row r="30" spans="1:40" ht="12.75" customHeight="1">
      <c r="A30" s="12"/>
      <c r="B30" s="56"/>
      <c r="C30" s="57"/>
      <c r="D30" s="58"/>
      <c r="E30" s="59"/>
      <c r="F30" s="130"/>
      <c r="G30" s="130"/>
      <c r="H30" s="59"/>
      <c r="I30" s="59"/>
      <c r="J30" s="61"/>
      <c r="K30" s="61"/>
      <c r="L30" s="61"/>
      <c r="M30" s="61"/>
      <c r="N30" s="131"/>
      <c r="O30" s="131"/>
      <c r="P30" s="326"/>
      <c r="Q30" s="332"/>
      <c r="R30" s="326"/>
      <c r="S30" s="332"/>
      <c r="T30" s="64"/>
      <c r="U30" s="61"/>
      <c r="V30" s="61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</row>
    <row r="31" spans="1:40" ht="12.75" customHeight="1">
      <c r="A31" s="12"/>
      <c r="B31" s="56"/>
      <c r="C31" s="57"/>
      <c r="D31" s="58"/>
      <c r="E31" s="59"/>
      <c r="F31" s="130"/>
      <c r="G31" s="130"/>
      <c r="H31" s="59"/>
      <c r="I31" s="59"/>
      <c r="J31" s="61"/>
      <c r="K31" s="61"/>
      <c r="L31" s="61"/>
      <c r="M31" s="61"/>
      <c r="N31" s="131"/>
      <c r="O31" s="131"/>
      <c r="P31" s="326"/>
      <c r="Q31" s="332"/>
      <c r="R31" s="326"/>
      <c r="S31" s="332"/>
      <c r="T31" s="64"/>
      <c r="U31" s="61"/>
      <c r="V31" s="61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</row>
    <row r="32" spans="1:40" ht="13.5" customHeight="1">
      <c r="A32" s="12"/>
      <c r="B32" s="10"/>
      <c r="C32" s="10"/>
      <c r="D32" s="220" t="s">
        <v>210</v>
      </c>
      <c r="E32" s="221"/>
      <c r="F32" s="135"/>
      <c r="G32" s="37"/>
      <c r="H32" s="7"/>
      <c r="I32" s="7"/>
      <c r="J32" s="12"/>
      <c r="K32" s="224" t="s">
        <v>110</v>
      </c>
      <c r="L32" s="225"/>
      <c r="M32" s="226"/>
      <c r="N32" s="136"/>
      <c r="O32" s="137"/>
      <c r="P32" s="227" t="s">
        <v>111</v>
      </c>
      <c r="Q32" s="228"/>
      <c r="R32" s="228"/>
      <c r="S32" s="229"/>
      <c r="T32" s="12"/>
      <c r="U32" s="12"/>
      <c r="V32" s="23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</row>
    <row r="33" spans="1:40" ht="6" customHeight="1">
      <c r="A33" s="12"/>
      <c r="B33" s="5"/>
      <c r="C33" s="10"/>
      <c r="D33" s="10"/>
      <c r="E33" s="10"/>
      <c r="F33" s="10"/>
      <c r="G33" s="10"/>
      <c r="H33" s="10"/>
      <c r="I33" s="10"/>
      <c r="J33" s="10"/>
      <c r="K33" s="69"/>
      <c r="L33" s="70"/>
      <c r="M33" s="70"/>
      <c r="N33" s="71"/>
      <c r="O33" s="71"/>
      <c r="P33" s="73"/>
      <c r="Q33" s="73"/>
      <c r="R33" s="12"/>
      <c r="S33" s="12"/>
      <c r="T33" s="12"/>
      <c r="U33" s="12"/>
      <c r="V33" s="23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</row>
    <row r="34" spans="1:40" ht="9" customHeight="1">
      <c r="A34" s="12"/>
      <c r="B34" s="10"/>
      <c r="C34" s="12"/>
      <c r="D34" s="21" t="s">
        <v>35</v>
      </c>
      <c r="E34" s="181"/>
      <c r="F34" s="181"/>
      <c r="G34" s="181"/>
      <c r="H34" s="181"/>
      <c r="I34" s="36"/>
      <c r="J34" s="20"/>
      <c r="K34" s="21" t="s">
        <v>36</v>
      </c>
      <c r="L34" s="222"/>
      <c r="M34" s="223"/>
      <c r="N34" s="223"/>
      <c r="O34" s="223"/>
      <c r="P34" s="223"/>
      <c r="Q34" s="223"/>
      <c r="R34" s="36"/>
      <c r="S34" s="36"/>
      <c r="T34" s="12"/>
      <c r="U34" s="12"/>
      <c r="V34" s="12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</row>
    <row r="35" spans="1:40" ht="6.75" customHeight="1">
      <c r="A35" s="12"/>
      <c r="B35" s="20"/>
      <c r="C35" s="20"/>
      <c r="D35" s="20"/>
      <c r="E35" s="20"/>
      <c r="F35" s="20"/>
      <c r="G35" s="20"/>
      <c r="H35" s="20"/>
      <c r="I35" s="20"/>
      <c r="J35" s="20"/>
      <c r="K35" s="21"/>
      <c r="L35" s="21"/>
      <c r="M35" s="21"/>
      <c r="N35" s="21"/>
      <c r="O35" s="21"/>
      <c r="P35" s="20"/>
      <c r="Q35" s="20"/>
      <c r="R35" s="36"/>
      <c r="S35" s="36"/>
      <c r="T35" s="12"/>
      <c r="U35" s="12"/>
      <c r="V35" s="20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</row>
    <row r="36" spans="1:40" ht="9.75" customHeight="1">
      <c r="A36" s="12"/>
      <c r="B36" s="20"/>
      <c r="C36" s="12"/>
      <c r="D36" s="21" t="s">
        <v>37</v>
      </c>
      <c r="E36" s="181"/>
      <c r="F36" s="181"/>
      <c r="G36" s="181"/>
      <c r="H36" s="181"/>
      <c r="I36" s="36"/>
      <c r="J36" s="20"/>
      <c r="K36" s="21" t="s">
        <v>38</v>
      </c>
      <c r="L36" s="222"/>
      <c r="M36" s="223"/>
      <c r="N36" s="223"/>
      <c r="O36" s="223"/>
      <c r="P36" s="223"/>
      <c r="Q36" s="223"/>
      <c r="R36" s="36"/>
      <c r="S36" s="36"/>
      <c r="T36" s="12"/>
      <c r="U36" s="12"/>
      <c r="V36" s="12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</row>
    <row r="37" spans="1:40" ht="9.75" customHeight="1">
      <c r="A37" s="42"/>
      <c r="B37" s="151"/>
      <c r="C37" s="42"/>
      <c r="D37" s="149"/>
      <c r="E37" s="152"/>
      <c r="F37" s="152"/>
      <c r="G37" s="152"/>
      <c r="H37" s="152"/>
      <c r="I37" s="152"/>
      <c r="J37" s="151"/>
      <c r="K37" s="149"/>
      <c r="L37" s="153"/>
      <c r="M37" s="155"/>
      <c r="N37" s="155"/>
      <c r="O37" s="155"/>
      <c r="P37" s="155"/>
      <c r="Q37" s="155"/>
      <c r="R37" s="152"/>
      <c r="S37" s="152"/>
      <c r="T37" s="42"/>
      <c r="U37" s="42"/>
      <c r="V37" s="42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</row>
    <row r="38" spans="1:40" ht="12.75">
      <c r="A38" s="42"/>
      <c r="B38" s="156" t="s">
        <v>177</v>
      </c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42"/>
      <c r="V38" s="151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</row>
    <row r="39" spans="1:37" ht="12.75">
      <c r="A39" s="42"/>
      <c r="B39" s="42" t="s">
        <v>185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337"/>
      <c r="R39" s="338"/>
      <c r="S39" s="338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</row>
    <row r="40" spans="1:37" ht="12.75">
      <c r="A40" s="42"/>
      <c r="B40" s="42"/>
      <c r="C40" s="42"/>
      <c r="D40" s="42" t="s">
        <v>186</v>
      </c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338"/>
      <c r="R40" s="338"/>
      <c r="S40" s="338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</row>
    <row r="41" spans="1:37" ht="12.75">
      <c r="A41" s="42"/>
      <c r="B41" s="42"/>
      <c r="C41" s="42"/>
      <c r="D41" s="42" t="s">
        <v>187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155"/>
      <c r="R41" s="155"/>
      <c r="S41" s="155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</row>
    <row r="42" spans="1:37" ht="12.75" customHeight="1">
      <c r="A42" s="42"/>
      <c r="B42" s="42" t="s">
        <v>112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157"/>
      <c r="R42" s="157"/>
      <c r="S42" s="158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</row>
    <row r="43" spans="1:37" ht="12.75" customHeight="1">
      <c r="A43" s="42"/>
      <c r="B43" s="42" t="s">
        <v>171</v>
      </c>
      <c r="C43" s="42"/>
      <c r="D43" s="42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157"/>
      <c r="R43" s="157"/>
      <c r="S43" s="158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</row>
    <row r="44" spans="1:25" ht="12.75" customHeight="1">
      <c r="A44" s="42"/>
      <c r="B44" s="42"/>
      <c r="C44" s="42"/>
      <c r="D44" s="42" t="s">
        <v>188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</row>
    <row r="45" spans="1:25" ht="12.75">
      <c r="A45" s="42"/>
      <c r="B45" s="42"/>
      <c r="C45" s="42"/>
      <c r="D45" s="42" t="s">
        <v>198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</row>
    <row r="46" spans="1:22" ht="11.25">
      <c r="A46" s="42"/>
      <c r="B46" s="156" t="s">
        <v>114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</row>
    <row r="47" spans="1:22" ht="11.25">
      <c r="A47" s="42"/>
      <c r="B47" s="156" t="s">
        <v>115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</row>
    <row r="48" spans="1:22" ht="12.75" customHeight="1">
      <c r="A48" s="42"/>
      <c r="B48" s="42" t="s">
        <v>116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244" t="s">
        <v>211</v>
      </c>
      <c r="Q48" s="244"/>
      <c r="R48" s="244"/>
      <c r="S48" s="244"/>
      <c r="T48" s="244"/>
      <c r="U48" s="244"/>
      <c r="V48" s="244"/>
    </row>
    <row r="49" ht="12.75">
      <c r="B49"/>
    </row>
    <row r="50" ht="12.75">
      <c r="B50"/>
    </row>
    <row r="51" ht="12.75">
      <c r="B51"/>
    </row>
    <row r="52" spans="1:22" ht="12.75">
      <c r="A52" s="42"/>
      <c r="B52" s="76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</row>
    <row r="53" spans="1:22" ht="12.75">
      <c r="A53" s="42"/>
      <c r="B53" s="76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</row>
    <row r="54" spans="1:22" ht="12.75">
      <c r="A54" s="42"/>
      <c r="B54" s="76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</row>
    <row r="55" spans="1:22" ht="12.75">
      <c r="A55" s="42"/>
      <c r="B55" s="76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</row>
    <row r="56" spans="1:22" ht="12.75">
      <c r="A56" s="42"/>
      <c r="B56" s="76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</row>
    <row r="57" spans="1:22" ht="12.75">
      <c r="A57" s="42"/>
      <c r="B57" s="76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</row>
    <row r="58" spans="1:22" ht="12.75">
      <c r="A58" s="42"/>
      <c r="B58" s="76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</row>
    <row r="59" spans="1:22" ht="12.75">
      <c r="A59" s="42"/>
      <c r="B59" s="76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</row>
    <row r="60" spans="1:25" ht="12.75">
      <c r="A60" s="4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</row>
    <row r="61" spans="1:25" ht="12.75">
      <c r="A61" s="4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</row>
    <row r="62" spans="1:25" ht="12.75">
      <c r="A62" s="4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</row>
    <row r="63" spans="1:25" ht="12.75">
      <c r="A63" s="4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</row>
    <row r="64" spans="1:25" ht="12.75">
      <c r="A64" s="4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</row>
    <row r="65" spans="1:25" ht="12.75">
      <c r="A65" s="4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</row>
    <row r="66" spans="1:25" ht="12.75">
      <c r="A66" s="4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</row>
    <row r="67" spans="1:25" ht="12.75">
      <c r="A67" s="4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</row>
    <row r="68" spans="1:25" ht="12.75">
      <c r="A68" s="4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</row>
    <row r="69" spans="1:25" ht="12.75">
      <c r="A69" s="4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</row>
    <row r="70" spans="1:25" ht="12.75">
      <c r="A70" s="4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</row>
    <row r="71" spans="1:25" ht="12.75">
      <c r="A71" s="4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</row>
    <row r="72" spans="1:25" ht="12.75">
      <c r="A72" s="4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</row>
    <row r="73" spans="1:25" ht="12.75">
      <c r="A73" s="4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</row>
    <row r="74" spans="1:25" ht="12.75">
      <c r="A74" s="4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</row>
    <row r="75" spans="1:25" ht="12.75">
      <c r="A75" s="4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</row>
    <row r="76" spans="1:25" ht="12.75">
      <c r="A76" s="4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</row>
    <row r="77" spans="1:25" ht="12.75">
      <c r="A77" s="4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</row>
    <row r="78" spans="1:25" ht="12.75">
      <c r="A78" s="4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</row>
    <row r="79" spans="1:25" ht="12.75">
      <c r="A79" s="4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</row>
    <row r="80" spans="1:25" ht="12.75">
      <c r="A80" s="4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</row>
    <row r="81" spans="1:25" ht="12.75">
      <c r="A81" s="4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</row>
    <row r="82" spans="1:25" ht="12.75">
      <c r="A82" s="42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</row>
    <row r="83" spans="1:25" ht="12.75">
      <c r="A83" s="42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</row>
    <row r="84" spans="1:25" ht="12.75">
      <c r="A84" s="42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</row>
    <row r="85" spans="1:25" ht="12.75">
      <c r="A85" s="42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</row>
    <row r="86" spans="1:25" ht="12.75">
      <c r="A86" s="42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</row>
    <row r="87" spans="1:25" ht="12.75">
      <c r="A87" s="42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</row>
    <row r="88" spans="1:25" ht="12.75">
      <c r="A88" s="42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</row>
    <row r="89" spans="1:25" ht="12.75">
      <c r="A89" s="42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</row>
    <row r="90" spans="1:25" ht="12.75">
      <c r="A90" s="42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</row>
    <row r="91" spans="1:25" ht="12.75">
      <c r="A91" s="42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</row>
    <row r="92" spans="1:25" ht="12.75">
      <c r="A92" s="42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</row>
    <row r="93" spans="1:25" ht="12.75">
      <c r="A93" s="42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</row>
    <row r="94" spans="1:25" ht="12.75">
      <c r="A94" s="42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</row>
    <row r="95" spans="1:25" ht="12.75">
      <c r="A95" s="42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</row>
    <row r="96" spans="1:25" ht="12.75">
      <c r="A96" s="42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</row>
    <row r="97" spans="1:25" ht="12.75" hidden="1">
      <c r="A97" s="42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</row>
    <row r="98" spans="1:25" ht="12.75" hidden="1">
      <c r="A98" s="42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</row>
    <row r="99" spans="1:29" ht="12.75" hidden="1">
      <c r="A99" s="42"/>
      <c r="B99" s="76"/>
      <c r="C99" s="76">
        <f aca="true" t="shared" si="0" ref="C99:C109">IF(AND($S$9="Swine",$H21="br",$I21="slurry"),0.7,D99)</f>
        <v>0</v>
      </c>
      <c r="D99" s="76">
        <f aca="true" t="shared" si="1" ref="D99:D109">IF(AND($S$9="Swine",$H21="si",$I21="slurry"),0.8,E99)</f>
        <v>0</v>
      </c>
      <c r="E99" s="76">
        <f aca="true" t="shared" si="2" ref="E99:E109">IF(AND($S$9="Swine",$H21="in",$I21="slurry"),0.8,F99)</f>
        <v>0</v>
      </c>
      <c r="F99" s="76">
        <f aca="true" t="shared" si="3" ref="F99:F109">IF(AND($S$9="Swine",$H21="in",$I21="sludge"),0.8,G99)</f>
        <v>0</v>
      </c>
      <c r="G99" s="76">
        <f aca="true" t="shared" si="4" ref="G99:G109">IF(AND($S$9="Swine",$H21="si",$I21="sludge"),0.8,H99)</f>
        <v>0</v>
      </c>
      <c r="H99" s="76">
        <f aca="true" t="shared" si="5" ref="H99:H109">IF(AND($S$9="Swine",$H21="br",$I21="sludge"),0.7,I99)</f>
        <v>0</v>
      </c>
      <c r="I99" s="76">
        <f aca="true" t="shared" si="6" ref="I99:I109">IF(AND($S$9="Swine",H21="br",$I21="dmsssp"),"ERROR",J99)</f>
        <v>0</v>
      </c>
      <c r="J99" s="76">
        <f aca="true" t="shared" si="7" ref="J99:J109">IF(AND($S$9="Swine",$H21="si",$I21="dmsssp"),"ERROR",K99)</f>
        <v>0</v>
      </c>
      <c r="K99" s="76">
        <f aca="true" t="shared" si="8" ref="K99:K109">IF(AND($S$9="Swine",$H21="in",$I21="dmsssp"),"ERROR",L99)</f>
        <v>0</v>
      </c>
      <c r="L99" s="76">
        <f aca="true" t="shared" si="9" ref="L99:L109">IF(AND($S$9="Poultry",$H21="br",$I21="slurry"),0.7,M99)</f>
        <v>0</v>
      </c>
      <c r="M99" s="76">
        <f aca="true" t="shared" si="10" ref="M99:M109">IF(AND($S$9="Poultry",$H21="si",$I21="slurry"),0.8,N99)</f>
        <v>0</v>
      </c>
      <c r="N99" s="76">
        <f aca="true" t="shared" si="11" ref="N99:N109">IF(AND($S$9="Poultry",$H21="in",$I21="slurry"),0.8,O99)</f>
        <v>0</v>
      </c>
      <c r="O99" s="76">
        <f aca="true" t="shared" si="12" ref="O99:O109">IF(AND($S$9="Poultry",$H21="br",$I21="sludge"),0.7,P99)</f>
        <v>0</v>
      </c>
      <c r="P99" s="76">
        <f aca="true" t="shared" si="13" ref="P99:P109">IF(AND($S$9="Poultry",$H21="si",$I21="sludge"),0.8,Q99)</f>
        <v>0</v>
      </c>
      <c r="Q99" s="76">
        <f aca="true" t="shared" si="14" ref="Q99:Q109">IF(AND($S$9="Poultry",$H21="in",$I21="sludge"),0.8,R99)</f>
        <v>0</v>
      </c>
      <c r="R99" s="76">
        <f aca="true" t="shared" si="15" ref="R99:R109">IF(AND($S$9="Poultry",$H21="br",$I21="dmsssp"),"ERROR",S99)</f>
        <v>0</v>
      </c>
      <c r="S99" s="76">
        <f aca="true" t="shared" si="16" ref="S99:S109">IF(AND($S$9="Poultry",$H21="si",$I21="dmsssp"),"ERROR",T99)</f>
        <v>0</v>
      </c>
      <c r="T99" s="76">
        <f aca="true" t="shared" si="17" ref="T99:T109">IF(AND($S$9="Poultry",$H21="in",$I21="dmsssp"),"ERROR",U99)</f>
        <v>0</v>
      </c>
      <c r="U99" s="76">
        <f aca="true" t="shared" si="18" ref="U99:U109">IF(AND($S$9="Dairy",$H21="br",$I21="slurry"),0.7,V99)</f>
        <v>0</v>
      </c>
      <c r="V99" s="76">
        <f aca="true" t="shared" si="19" ref="V99:V109">IF(AND($S$9="Dairy",$H21="si",$I21="slurry"),0.8,W99)</f>
        <v>0</v>
      </c>
      <c r="W99" s="76">
        <f aca="true" t="shared" si="20" ref="W99:W109">IF(AND($S$9="Dairy",$H21="in",$I21="slurry"),0.8,X99)</f>
        <v>0</v>
      </c>
      <c r="X99" s="76">
        <f aca="true" t="shared" si="21" ref="X99:X109">IF(AND($S$9="Dairy",$H21="br",$I21="sludge"),"ERROR",Y99)</f>
        <v>0</v>
      </c>
      <c r="Y99" s="76">
        <f aca="true" t="shared" si="22" ref="Y99:Y109">IF(AND($S$9="Dairy",$H21="si",$I21="sludge"),"ERROR",Z99)</f>
        <v>0</v>
      </c>
      <c r="Z99" s="76">
        <f aca="true" t="shared" si="23" ref="Z99:Z109">IF(AND($S$9="Dairy",$H21="in",$I21="sludge"),"ERROR",AA99)</f>
        <v>0</v>
      </c>
      <c r="AA99" s="76">
        <f aca="true" t="shared" si="24" ref="AA99:AA109">IF(AND($S$9="Dairy",$H21="br",$I21="dmsssp"),0.6,AB99)</f>
        <v>0</v>
      </c>
      <c r="AB99" s="76">
        <f aca="true" t="shared" si="25" ref="AB99:AB109">IF(AND($S$9="Dairy",$H21="si",$I21="dmsssp"),0.75,AC99)</f>
        <v>0</v>
      </c>
      <c r="AC99" s="76">
        <f aca="true" t="shared" si="26" ref="AC99:AC109">IF(AND($S$9="Dairy",$H21="in",$I21="dmsssp"),"ERROR",AD99)</f>
        <v>0</v>
      </c>
    </row>
    <row r="100" spans="1:29" ht="12.75" hidden="1">
      <c r="A100" s="42"/>
      <c r="B100" s="76"/>
      <c r="C100" s="76">
        <f t="shared" si="0"/>
        <v>0</v>
      </c>
      <c r="D100" s="76">
        <f t="shared" si="1"/>
        <v>0</v>
      </c>
      <c r="E100" s="76">
        <f t="shared" si="2"/>
        <v>0</v>
      </c>
      <c r="F100" s="76">
        <f t="shared" si="3"/>
        <v>0</v>
      </c>
      <c r="G100" s="76">
        <f t="shared" si="4"/>
        <v>0</v>
      </c>
      <c r="H100" s="76">
        <f t="shared" si="5"/>
        <v>0</v>
      </c>
      <c r="I100" s="76">
        <f t="shared" si="6"/>
        <v>0</v>
      </c>
      <c r="J100" s="76">
        <f t="shared" si="7"/>
        <v>0</v>
      </c>
      <c r="K100" s="76">
        <f t="shared" si="8"/>
        <v>0</v>
      </c>
      <c r="L100" s="76">
        <f t="shared" si="9"/>
        <v>0</v>
      </c>
      <c r="M100" s="76">
        <f t="shared" si="10"/>
        <v>0</v>
      </c>
      <c r="N100" s="76">
        <f t="shared" si="11"/>
        <v>0</v>
      </c>
      <c r="O100" s="76">
        <f t="shared" si="12"/>
        <v>0</v>
      </c>
      <c r="P100" s="76">
        <f t="shared" si="13"/>
        <v>0</v>
      </c>
      <c r="Q100" s="76">
        <f t="shared" si="14"/>
        <v>0</v>
      </c>
      <c r="R100" s="76">
        <f t="shared" si="15"/>
        <v>0</v>
      </c>
      <c r="S100" s="76">
        <f t="shared" si="16"/>
        <v>0</v>
      </c>
      <c r="T100" s="76">
        <f t="shared" si="17"/>
        <v>0</v>
      </c>
      <c r="U100" s="76">
        <f t="shared" si="18"/>
        <v>0</v>
      </c>
      <c r="V100" s="76">
        <f t="shared" si="19"/>
        <v>0</v>
      </c>
      <c r="W100" s="76">
        <f t="shared" si="20"/>
        <v>0</v>
      </c>
      <c r="X100" s="76">
        <f t="shared" si="21"/>
        <v>0</v>
      </c>
      <c r="Y100" s="76">
        <f t="shared" si="22"/>
        <v>0</v>
      </c>
      <c r="Z100" s="76">
        <f t="shared" si="23"/>
        <v>0</v>
      </c>
      <c r="AA100" s="76">
        <f t="shared" si="24"/>
        <v>0</v>
      </c>
      <c r="AB100" s="76">
        <f t="shared" si="25"/>
        <v>0</v>
      </c>
      <c r="AC100" s="76">
        <f t="shared" si="26"/>
        <v>0</v>
      </c>
    </row>
    <row r="101" spans="1:29" ht="12.75" hidden="1">
      <c r="A101" s="42"/>
      <c r="B101" s="76"/>
      <c r="C101" s="76">
        <f t="shared" si="0"/>
        <v>0</v>
      </c>
      <c r="D101" s="76">
        <f t="shared" si="1"/>
        <v>0</v>
      </c>
      <c r="E101" s="76">
        <f t="shared" si="2"/>
        <v>0</v>
      </c>
      <c r="F101" s="76">
        <f t="shared" si="3"/>
        <v>0</v>
      </c>
      <c r="G101" s="76">
        <f t="shared" si="4"/>
        <v>0</v>
      </c>
      <c r="H101" s="76">
        <f t="shared" si="5"/>
        <v>0</v>
      </c>
      <c r="I101" s="76">
        <f t="shared" si="6"/>
        <v>0</v>
      </c>
      <c r="J101" s="76">
        <f t="shared" si="7"/>
        <v>0</v>
      </c>
      <c r="K101" s="76">
        <f t="shared" si="8"/>
        <v>0</v>
      </c>
      <c r="L101" s="76">
        <f t="shared" si="9"/>
        <v>0</v>
      </c>
      <c r="M101" s="76">
        <f t="shared" si="10"/>
        <v>0</v>
      </c>
      <c r="N101" s="76">
        <f t="shared" si="11"/>
        <v>0</v>
      </c>
      <c r="O101" s="76">
        <f t="shared" si="12"/>
        <v>0</v>
      </c>
      <c r="P101" s="76">
        <f t="shared" si="13"/>
        <v>0</v>
      </c>
      <c r="Q101" s="76">
        <f t="shared" si="14"/>
        <v>0</v>
      </c>
      <c r="R101" s="76">
        <f t="shared" si="15"/>
        <v>0</v>
      </c>
      <c r="S101" s="76">
        <f t="shared" si="16"/>
        <v>0</v>
      </c>
      <c r="T101" s="76">
        <f t="shared" si="17"/>
        <v>0</v>
      </c>
      <c r="U101" s="76">
        <f t="shared" si="18"/>
        <v>0</v>
      </c>
      <c r="V101" s="76">
        <f t="shared" si="19"/>
        <v>0</v>
      </c>
      <c r="W101" s="76">
        <f t="shared" si="20"/>
        <v>0</v>
      </c>
      <c r="X101" s="76">
        <f t="shared" si="21"/>
        <v>0</v>
      </c>
      <c r="Y101" s="76">
        <f t="shared" si="22"/>
        <v>0</v>
      </c>
      <c r="Z101" s="76">
        <f t="shared" si="23"/>
        <v>0</v>
      </c>
      <c r="AA101" s="76">
        <f t="shared" si="24"/>
        <v>0</v>
      </c>
      <c r="AB101" s="76">
        <f t="shared" si="25"/>
        <v>0</v>
      </c>
      <c r="AC101" s="76">
        <f t="shared" si="26"/>
        <v>0</v>
      </c>
    </row>
    <row r="102" spans="1:29" ht="12.75" hidden="1">
      <c r="A102" s="42"/>
      <c r="B102" s="76"/>
      <c r="C102" s="76">
        <f t="shared" si="0"/>
        <v>0</v>
      </c>
      <c r="D102" s="76">
        <f t="shared" si="1"/>
        <v>0</v>
      </c>
      <c r="E102" s="76">
        <f t="shared" si="2"/>
        <v>0</v>
      </c>
      <c r="F102" s="76">
        <f t="shared" si="3"/>
        <v>0</v>
      </c>
      <c r="G102" s="76">
        <f t="shared" si="4"/>
        <v>0</v>
      </c>
      <c r="H102" s="76">
        <f t="shared" si="5"/>
        <v>0</v>
      </c>
      <c r="I102" s="76">
        <f t="shared" si="6"/>
        <v>0</v>
      </c>
      <c r="J102" s="76">
        <f t="shared" si="7"/>
        <v>0</v>
      </c>
      <c r="K102" s="76">
        <f t="shared" si="8"/>
        <v>0</v>
      </c>
      <c r="L102" s="76">
        <f t="shared" si="9"/>
        <v>0</v>
      </c>
      <c r="M102" s="76">
        <f t="shared" si="10"/>
        <v>0</v>
      </c>
      <c r="N102" s="76">
        <f t="shared" si="11"/>
        <v>0</v>
      </c>
      <c r="O102" s="76">
        <f t="shared" si="12"/>
        <v>0</v>
      </c>
      <c r="P102" s="76">
        <f t="shared" si="13"/>
        <v>0</v>
      </c>
      <c r="Q102" s="76">
        <f t="shared" si="14"/>
        <v>0</v>
      </c>
      <c r="R102" s="76">
        <f t="shared" si="15"/>
        <v>0</v>
      </c>
      <c r="S102" s="76">
        <f t="shared" si="16"/>
        <v>0</v>
      </c>
      <c r="T102" s="76">
        <f t="shared" si="17"/>
        <v>0</v>
      </c>
      <c r="U102" s="76">
        <f t="shared" si="18"/>
        <v>0</v>
      </c>
      <c r="V102" s="76">
        <f t="shared" si="19"/>
        <v>0</v>
      </c>
      <c r="W102" s="76">
        <f t="shared" si="20"/>
        <v>0</v>
      </c>
      <c r="X102" s="76">
        <f t="shared" si="21"/>
        <v>0</v>
      </c>
      <c r="Y102" s="76">
        <f t="shared" si="22"/>
        <v>0</v>
      </c>
      <c r="Z102" s="76">
        <f t="shared" si="23"/>
        <v>0</v>
      </c>
      <c r="AA102" s="76">
        <f t="shared" si="24"/>
        <v>0</v>
      </c>
      <c r="AB102" s="76">
        <f t="shared" si="25"/>
        <v>0</v>
      </c>
      <c r="AC102" s="76">
        <f t="shared" si="26"/>
        <v>0</v>
      </c>
    </row>
    <row r="103" spans="1:29" ht="12.75" hidden="1">
      <c r="A103" s="42"/>
      <c r="B103" s="76"/>
      <c r="C103" s="76">
        <f t="shared" si="0"/>
        <v>0</v>
      </c>
      <c r="D103" s="76">
        <f t="shared" si="1"/>
        <v>0</v>
      </c>
      <c r="E103" s="76">
        <f t="shared" si="2"/>
        <v>0</v>
      </c>
      <c r="F103" s="76">
        <f t="shared" si="3"/>
        <v>0</v>
      </c>
      <c r="G103" s="76">
        <f t="shared" si="4"/>
        <v>0</v>
      </c>
      <c r="H103" s="76">
        <f t="shared" si="5"/>
        <v>0</v>
      </c>
      <c r="I103" s="76">
        <f t="shared" si="6"/>
        <v>0</v>
      </c>
      <c r="J103" s="76">
        <f t="shared" si="7"/>
        <v>0</v>
      </c>
      <c r="K103" s="76">
        <f t="shared" si="8"/>
        <v>0</v>
      </c>
      <c r="L103" s="76">
        <f t="shared" si="9"/>
        <v>0</v>
      </c>
      <c r="M103" s="76">
        <f t="shared" si="10"/>
        <v>0</v>
      </c>
      <c r="N103" s="76">
        <f t="shared" si="11"/>
        <v>0</v>
      </c>
      <c r="O103" s="76">
        <f t="shared" si="12"/>
        <v>0</v>
      </c>
      <c r="P103" s="76">
        <f t="shared" si="13"/>
        <v>0</v>
      </c>
      <c r="Q103" s="76">
        <f t="shared" si="14"/>
        <v>0</v>
      </c>
      <c r="R103" s="76">
        <f t="shared" si="15"/>
        <v>0</v>
      </c>
      <c r="S103" s="76">
        <f t="shared" si="16"/>
        <v>0</v>
      </c>
      <c r="T103" s="76">
        <f t="shared" si="17"/>
        <v>0</v>
      </c>
      <c r="U103" s="76">
        <f t="shared" si="18"/>
        <v>0</v>
      </c>
      <c r="V103" s="76">
        <f t="shared" si="19"/>
        <v>0</v>
      </c>
      <c r="W103" s="76">
        <f t="shared" si="20"/>
        <v>0</v>
      </c>
      <c r="X103" s="76">
        <f t="shared" si="21"/>
        <v>0</v>
      </c>
      <c r="Y103" s="76">
        <f t="shared" si="22"/>
        <v>0</v>
      </c>
      <c r="Z103" s="76">
        <f t="shared" si="23"/>
        <v>0</v>
      </c>
      <c r="AA103" s="76">
        <f t="shared" si="24"/>
        <v>0</v>
      </c>
      <c r="AB103" s="76">
        <f t="shared" si="25"/>
        <v>0</v>
      </c>
      <c r="AC103" s="76">
        <f t="shared" si="26"/>
        <v>0</v>
      </c>
    </row>
    <row r="104" spans="1:29" ht="12.75" hidden="1">
      <c r="A104" s="42"/>
      <c r="B104" s="76"/>
      <c r="C104" s="76">
        <f t="shared" si="0"/>
        <v>0</v>
      </c>
      <c r="D104" s="76">
        <f t="shared" si="1"/>
        <v>0</v>
      </c>
      <c r="E104" s="76">
        <f t="shared" si="2"/>
        <v>0</v>
      </c>
      <c r="F104" s="76">
        <f t="shared" si="3"/>
        <v>0</v>
      </c>
      <c r="G104" s="76">
        <f t="shared" si="4"/>
        <v>0</v>
      </c>
      <c r="H104" s="76">
        <f t="shared" si="5"/>
        <v>0</v>
      </c>
      <c r="I104" s="76">
        <f t="shared" si="6"/>
        <v>0</v>
      </c>
      <c r="J104" s="76">
        <f t="shared" si="7"/>
        <v>0</v>
      </c>
      <c r="K104" s="76">
        <f t="shared" si="8"/>
        <v>0</v>
      </c>
      <c r="L104" s="76">
        <f t="shared" si="9"/>
        <v>0</v>
      </c>
      <c r="M104" s="76">
        <f t="shared" si="10"/>
        <v>0</v>
      </c>
      <c r="N104" s="76">
        <f t="shared" si="11"/>
        <v>0</v>
      </c>
      <c r="O104" s="76">
        <f t="shared" si="12"/>
        <v>0</v>
      </c>
      <c r="P104" s="76">
        <f t="shared" si="13"/>
        <v>0</v>
      </c>
      <c r="Q104" s="76">
        <f t="shared" si="14"/>
        <v>0</v>
      </c>
      <c r="R104" s="76">
        <f t="shared" si="15"/>
        <v>0</v>
      </c>
      <c r="S104" s="76">
        <f t="shared" si="16"/>
        <v>0</v>
      </c>
      <c r="T104" s="76">
        <f t="shared" si="17"/>
        <v>0</v>
      </c>
      <c r="U104" s="76">
        <f t="shared" si="18"/>
        <v>0</v>
      </c>
      <c r="V104" s="76">
        <f t="shared" si="19"/>
        <v>0</v>
      </c>
      <c r="W104" s="76">
        <f t="shared" si="20"/>
        <v>0</v>
      </c>
      <c r="X104" s="76">
        <f t="shared" si="21"/>
        <v>0</v>
      </c>
      <c r="Y104" s="76">
        <f t="shared" si="22"/>
        <v>0</v>
      </c>
      <c r="Z104" s="76">
        <f t="shared" si="23"/>
        <v>0</v>
      </c>
      <c r="AA104" s="76">
        <f t="shared" si="24"/>
        <v>0</v>
      </c>
      <c r="AB104" s="76">
        <f t="shared" si="25"/>
        <v>0</v>
      </c>
      <c r="AC104" s="76">
        <f t="shared" si="26"/>
        <v>0</v>
      </c>
    </row>
    <row r="105" spans="1:29" ht="12.75" hidden="1">
      <c r="A105" s="42"/>
      <c r="B105" s="76"/>
      <c r="C105" s="76">
        <f t="shared" si="0"/>
        <v>0</v>
      </c>
      <c r="D105" s="76">
        <f t="shared" si="1"/>
        <v>0</v>
      </c>
      <c r="E105" s="76">
        <f t="shared" si="2"/>
        <v>0</v>
      </c>
      <c r="F105" s="76">
        <f t="shared" si="3"/>
        <v>0</v>
      </c>
      <c r="G105" s="76">
        <f t="shared" si="4"/>
        <v>0</v>
      </c>
      <c r="H105" s="76">
        <f t="shared" si="5"/>
        <v>0</v>
      </c>
      <c r="I105" s="76">
        <f t="shared" si="6"/>
        <v>0</v>
      </c>
      <c r="J105" s="76">
        <f t="shared" si="7"/>
        <v>0</v>
      </c>
      <c r="K105" s="76">
        <f t="shared" si="8"/>
        <v>0</v>
      </c>
      <c r="L105" s="76">
        <f t="shared" si="9"/>
        <v>0</v>
      </c>
      <c r="M105" s="76">
        <f t="shared" si="10"/>
        <v>0</v>
      </c>
      <c r="N105" s="76">
        <f t="shared" si="11"/>
        <v>0</v>
      </c>
      <c r="O105" s="76">
        <f t="shared" si="12"/>
        <v>0</v>
      </c>
      <c r="P105" s="76">
        <f t="shared" si="13"/>
        <v>0</v>
      </c>
      <c r="Q105" s="76">
        <f t="shared" si="14"/>
        <v>0</v>
      </c>
      <c r="R105" s="76">
        <f t="shared" si="15"/>
        <v>0</v>
      </c>
      <c r="S105" s="76">
        <f t="shared" si="16"/>
        <v>0</v>
      </c>
      <c r="T105" s="76">
        <f t="shared" si="17"/>
        <v>0</v>
      </c>
      <c r="U105" s="76">
        <f t="shared" si="18"/>
        <v>0</v>
      </c>
      <c r="V105" s="76">
        <f t="shared" si="19"/>
        <v>0</v>
      </c>
      <c r="W105" s="76">
        <f t="shared" si="20"/>
        <v>0</v>
      </c>
      <c r="X105" s="76">
        <f t="shared" si="21"/>
        <v>0</v>
      </c>
      <c r="Y105" s="76">
        <f t="shared" si="22"/>
        <v>0</v>
      </c>
      <c r="Z105" s="76">
        <f t="shared" si="23"/>
        <v>0</v>
      </c>
      <c r="AA105" s="76">
        <f t="shared" si="24"/>
        <v>0</v>
      </c>
      <c r="AB105" s="76">
        <f t="shared" si="25"/>
        <v>0</v>
      </c>
      <c r="AC105" s="76">
        <f t="shared" si="26"/>
        <v>0</v>
      </c>
    </row>
    <row r="106" spans="1:29" ht="12.75" hidden="1">
      <c r="A106" s="42"/>
      <c r="B106" s="76"/>
      <c r="C106" s="76">
        <f t="shared" si="0"/>
        <v>0</v>
      </c>
      <c r="D106" s="76">
        <f t="shared" si="1"/>
        <v>0</v>
      </c>
      <c r="E106" s="76">
        <f t="shared" si="2"/>
        <v>0</v>
      </c>
      <c r="F106" s="76">
        <f t="shared" si="3"/>
        <v>0</v>
      </c>
      <c r="G106" s="76">
        <f t="shared" si="4"/>
        <v>0</v>
      </c>
      <c r="H106" s="76">
        <f t="shared" si="5"/>
        <v>0</v>
      </c>
      <c r="I106" s="76">
        <f t="shared" si="6"/>
        <v>0</v>
      </c>
      <c r="J106" s="76">
        <f t="shared" si="7"/>
        <v>0</v>
      </c>
      <c r="K106" s="76">
        <f t="shared" si="8"/>
        <v>0</v>
      </c>
      <c r="L106" s="76">
        <f t="shared" si="9"/>
        <v>0</v>
      </c>
      <c r="M106" s="76">
        <f t="shared" si="10"/>
        <v>0</v>
      </c>
      <c r="N106" s="76">
        <f t="shared" si="11"/>
        <v>0</v>
      </c>
      <c r="O106" s="76">
        <f t="shared" si="12"/>
        <v>0</v>
      </c>
      <c r="P106" s="76">
        <f t="shared" si="13"/>
        <v>0</v>
      </c>
      <c r="Q106" s="76">
        <f t="shared" si="14"/>
        <v>0</v>
      </c>
      <c r="R106" s="76">
        <f t="shared" si="15"/>
        <v>0</v>
      </c>
      <c r="S106" s="76">
        <f t="shared" si="16"/>
        <v>0</v>
      </c>
      <c r="T106" s="76">
        <f t="shared" si="17"/>
        <v>0</v>
      </c>
      <c r="U106" s="76">
        <f t="shared" si="18"/>
        <v>0</v>
      </c>
      <c r="V106" s="76">
        <f t="shared" si="19"/>
        <v>0</v>
      </c>
      <c r="W106" s="76">
        <f t="shared" si="20"/>
        <v>0</v>
      </c>
      <c r="X106" s="76">
        <f t="shared" si="21"/>
        <v>0</v>
      </c>
      <c r="Y106" s="76">
        <f t="shared" si="22"/>
        <v>0</v>
      </c>
      <c r="Z106" s="76">
        <f t="shared" si="23"/>
        <v>0</v>
      </c>
      <c r="AA106" s="76">
        <f t="shared" si="24"/>
        <v>0</v>
      </c>
      <c r="AB106" s="76">
        <f t="shared" si="25"/>
        <v>0</v>
      </c>
      <c r="AC106" s="76">
        <f t="shared" si="26"/>
        <v>0</v>
      </c>
    </row>
    <row r="107" spans="1:29" ht="12.75" hidden="1">
      <c r="A107" s="42"/>
      <c r="B107" s="76"/>
      <c r="C107" s="76">
        <f t="shared" si="0"/>
        <v>0</v>
      </c>
      <c r="D107" s="76">
        <f t="shared" si="1"/>
        <v>0</v>
      </c>
      <c r="E107" s="76">
        <f t="shared" si="2"/>
        <v>0</v>
      </c>
      <c r="F107" s="76">
        <f t="shared" si="3"/>
        <v>0</v>
      </c>
      <c r="G107" s="76">
        <f t="shared" si="4"/>
        <v>0</v>
      </c>
      <c r="H107" s="76">
        <f t="shared" si="5"/>
        <v>0</v>
      </c>
      <c r="I107" s="76">
        <f t="shared" si="6"/>
        <v>0</v>
      </c>
      <c r="J107" s="76">
        <f t="shared" si="7"/>
        <v>0</v>
      </c>
      <c r="K107" s="76">
        <f t="shared" si="8"/>
        <v>0</v>
      </c>
      <c r="L107" s="76">
        <f t="shared" si="9"/>
        <v>0</v>
      </c>
      <c r="M107" s="76">
        <f t="shared" si="10"/>
        <v>0</v>
      </c>
      <c r="N107" s="76">
        <f t="shared" si="11"/>
        <v>0</v>
      </c>
      <c r="O107" s="76">
        <f t="shared" si="12"/>
        <v>0</v>
      </c>
      <c r="P107" s="76">
        <f t="shared" si="13"/>
        <v>0</v>
      </c>
      <c r="Q107" s="76">
        <f t="shared" si="14"/>
        <v>0</v>
      </c>
      <c r="R107" s="76">
        <f t="shared" si="15"/>
        <v>0</v>
      </c>
      <c r="S107" s="76">
        <f t="shared" si="16"/>
        <v>0</v>
      </c>
      <c r="T107" s="76">
        <f t="shared" si="17"/>
        <v>0</v>
      </c>
      <c r="U107" s="76">
        <f t="shared" si="18"/>
        <v>0</v>
      </c>
      <c r="V107" s="76">
        <f t="shared" si="19"/>
        <v>0</v>
      </c>
      <c r="W107" s="76">
        <f t="shared" si="20"/>
        <v>0</v>
      </c>
      <c r="X107" s="76">
        <f t="shared" si="21"/>
        <v>0</v>
      </c>
      <c r="Y107" s="76">
        <f t="shared" si="22"/>
        <v>0</v>
      </c>
      <c r="Z107" s="76">
        <f t="shared" si="23"/>
        <v>0</v>
      </c>
      <c r="AA107" s="76">
        <f t="shared" si="24"/>
        <v>0</v>
      </c>
      <c r="AB107" s="76">
        <f t="shared" si="25"/>
        <v>0</v>
      </c>
      <c r="AC107" s="76">
        <f t="shared" si="26"/>
        <v>0</v>
      </c>
    </row>
    <row r="108" spans="1:29" ht="12.75" hidden="1">
      <c r="A108" s="42"/>
      <c r="B108" s="76"/>
      <c r="C108" s="76">
        <f t="shared" si="0"/>
        <v>0</v>
      </c>
      <c r="D108" s="76">
        <f t="shared" si="1"/>
        <v>0</v>
      </c>
      <c r="E108" s="76">
        <f t="shared" si="2"/>
        <v>0</v>
      </c>
      <c r="F108" s="76">
        <f t="shared" si="3"/>
        <v>0</v>
      </c>
      <c r="G108" s="76">
        <f t="shared" si="4"/>
        <v>0</v>
      </c>
      <c r="H108" s="76">
        <f t="shared" si="5"/>
        <v>0</v>
      </c>
      <c r="I108" s="76">
        <f t="shared" si="6"/>
        <v>0</v>
      </c>
      <c r="J108" s="76">
        <f t="shared" si="7"/>
        <v>0</v>
      </c>
      <c r="K108" s="76">
        <f t="shared" si="8"/>
        <v>0</v>
      </c>
      <c r="L108" s="76">
        <f t="shared" si="9"/>
        <v>0</v>
      </c>
      <c r="M108" s="76">
        <f t="shared" si="10"/>
        <v>0</v>
      </c>
      <c r="N108" s="76">
        <f t="shared" si="11"/>
        <v>0</v>
      </c>
      <c r="O108" s="76">
        <f t="shared" si="12"/>
        <v>0</v>
      </c>
      <c r="P108" s="76">
        <f t="shared" si="13"/>
        <v>0</v>
      </c>
      <c r="Q108" s="76">
        <f t="shared" si="14"/>
        <v>0</v>
      </c>
      <c r="R108" s="76">
        <f t="shared" si="15"/>
        <v>0</v>
      </c>
      <c r="S108" s="76">
        <f t="shared" si="16"/>
        <v>0</v>
      </c>
      <c r="T108" s="76">
        <f t="shared" si="17"/>
        <v>0</v>
      </c>
      <c r="U108" s="76">
        <f t="shared" si="18"/>
        <v>0</v>
      </c>
      <c r="V108" s="76">
        <f t="shared" si="19"/>
        <v>0</v>
      </c>
      <c r="W108" s="76">
        <f t="shared" si="20"/>
        <v>0</v>
      </c>
      <c r="X108" s="76">
        <f t="shared" si="21"/>
        <v>0</v>
      </c>
      <c r="Y108" s="76">
        <f t="shared" si="22"/>
        <v>0</v>
      </c>
      <c r="Z108" s="76">
        <f t="shared" si="23"/>
        <v>0</v>
      </c>
      <c r="AA108" s="76">
        <f t="shared" si="24"/>
        <v>0</v>
      </c>
      <c r="AB108" s="76">
        <f t="shared" si="25"/>
        <v>0</v>
      </c>
      <c r="AC108" s="76">
        <f t="shared" si="26"/>
        <v>0</v>
      </c>
    </row>
    <row r="109" spans="1:29" ht="12.75" hidden="1">
      <c r="A109" s="42"/>
      <c r="B109" s="76"/>
      <c r="C109" s="76">
        <f t="shared" si="0"/>
        <v>0</v>
      </c>
      <c r="D109" s="76">
        <f t="shared" si="1"/>
        <v>0</v>
      </c>
      <c r="E109" s="76">
        <f t="shared" si="2"/>
        <v>0</v>
      </c>
      <c r="F109" s="76">
        <f t="shared" si="3"/>
        <v>0</v>
      </c>
      <c r="G109" s="76">
        <f t="shared" si="4"/>
        <v>0</v>
      </c>
      <c r="H109" s="76">
        <f t="shared" si="5"/>
        <v>0</v>
      </c>
      <c r="I109" s="76">
        <f t="shared" si="6"/>
        <v>0</v>
      </c>
      <c r="J109" s="76">
        <f t="shared" si="7"/>
        <v>0</v>
      </c>
      <c r="K109" s="76">
        <f t="shared" si="8"/>
        <v>0</v>
      </c>
      <c r="L109" s="76">
        <f t="shared" si="9"/>
        <v>0</v>
      </c>
      <c r="M109" s="76">
        <f t="shared" si="10"/>
        <v>0</v>
      </c>
      <c r="N109" s="76">
        <f t="shared" si="11"/>
        <v>0</v>
      </c>
      <c r="O109" s="76">
        <f t="shared" si="12"/>
        <v>0</v>
      </c>
      <c r="P109" s="76">
        <f t="shared" si="13"/>
        <v>0</v>
      </c>
      <c r="Q109" s="76">
        <f t="shared" si="14"/>
        <v>0</v>
      </c>
      <c r="R109" s="76">
        <f t="shared" si="15"/>
        <v>0</v>
      </c>
      <c r="S109" s="76">
        <f t="shared" si="16"/>
        <v>0</v>
      </c>
      <c r="T109" s="76">
        <f t="shared" si="17"/>
        <v>0</v>
      </c>
      <c r="U109" s="76">
        <f t="shared" si="18"/>
        <v>0</v>
      </c>
      <c r="V109" s="76">
        <f t="shared" si="19"/>
        <v>0</v>
      </c>
      <c r="W109" s="76">
        <f t="shared" si="20"/>
        <v>0</v>
      </c>
      <c r="X109" s="76">
        <f t="shared" si="21"/>
        <v>0</v>
      </c>
      <c r="Y109" s="76">
        <f t="shared" si="22"/>
        <v>0</v>
      </c>
      <c r="Z109" s="76">
        <f t="shared" si="23"/>
        <v>0</v>
      </c>
      <c r="AA109" s="76">
        <f t="shared" si="24"/>
        <v>0</v>
      </c>
      <c r="AB109" s="76">
        <f t="shared" si="25"/>
        <v>0</v>
      </c>
      <c r="AC109" s="76">
        <f t="shared" si="26"/>
        <v>0</v>
      </c>
    </row>
    <row r="110" spans="1:29" ht="12.75" hidden="1">
      <c r="A110" s="42"/>
      <c r="B110" s="76"/>
      <c r="C110" s="76" t="e">
        <f>IF(AND($S$9="Swine",#REF!="br",#REF!="slurry"),0.7,D110)</f>
        <v>#REF!</v>
      </c>
      <c r="D110" s="76" t="e">
        <f>IF(AND($S$9="Swine",#REF!="si",#REF!="slurry"),0.8,E110)</f>
        <v>#REF!</v>
      </c>
      <c r="E110" s="76" t="e">
        <f>IF(AND($S$9="Swine",#REF!="in",#REF!="slurry"),0.8,F110)</f>
        <v>#REF!</v>
      </c>
      <c r="F110" s="76" t="e">
        <f>IF(AND($S$9="Swine",#REF!="in",#REF!="sludge"),0.8,G110)</f>
        <v>#REF!</v>
      </c>
      <c r="G110" s="76" t="e">
        <f>IF(AND($S$9="Swine",#REF!="si",#REF!="sludge"),0.8,H110)</f>
        <v>#REF!</v>
      </c>
      <c r="H110" s="76" t="e">
        <f>IF(AND($S$9="Swine",#REF!="br",#REF!="sludge"),0.7,I110)</f>
        <v>#REF!</v>
      </c>
      <c r="I110" s="76" t="e">
        <f>IF(AND($S$9="Swine",#REF!="br",#REF!="dmsssp"),"ERROR",J110)</f>
        <v>#REF!</v>
      </c>
      <c r="J110" s="76" t="e">
        <f>IF(AND($S$9="Swine",#REF!="si",#REF!="dmsssp"),"ERROR",K110)</f>
        <v>#REF!</v>
      </c>
      <c r="K110" s="76" t="e">
        <f>IF(AND($S$9="Swine",#REF!="in",#REF!="dmsssp"),"ERROR",L110)</f>
        <v>#REF!</v>
      </c>
      <c r="L110" s="76" t="e">
        <f>IF(AND($S$9="Poultry",#REF!="br",#REF!="slurry"),0.7,M110)</f>
        <v>#REF!</v>
      </c>
      <c r="M110" s="76" t="e">
        <f>IF(AND($S$9="Poultry",#REF!="si",#REF!="slurry"),0.8,N110)</f>
        <v>#REF!</v>
      </c>
      <c r="N110" s="76" t="e">
        <f>IF(AND($S$9="Poultry",#REF!="in",#REF!="slurry"),0.8,O110)</f>
        <v>#REF!</v>
      </c>
      <c r="O110" s="76" t="e">
        <f>IF(AND($S$9="Poultry",#REF!="br",#REF!="sludge"),0.7,P110)</f>
        <v>#REF!</v>
      </c>
      <c r="P110" s="76" t="e">
        <f>IF(AND($S$9="Poultry",#REF!="si",#REF!="sludge"),0.8,Q110)</f>
        <v>#REF!</v>
      </c>
      <c r="Q110" s="76" t="e">
        <f>IF(AND($S$9="Poultry",#REF!="in",#REF!="sludge"),0.8,R110)</f>
        <v>#REF!</v>
      </c>
      <c r="R110" s="76" t="e">
        <f>IF(AND($S$9="Poultry",#REF!="br",#REF!="dmsssp"),"ERROR",S110)</f>
        <v>#REF!</v>
      </c>
      <c r="S110" s="76" t="e">
        <f>IF(AND($S$9="Poultry",#REF!="si",#REF!="dmsssp"),"ERROR",T110)</f>
        <v>#REF!</v>
      </c>
      <c r="T110" s="76" t="e">
        <f>IF(AND($S$9="Poultry",#REF!="in",#REF!="dmsssp"),"ERROR",U110)</f>
        <v>#REF!</v>
      </c>
      <c r="U110" s="76" t="e">
        <f>IF(AND($S$9="Dairy",#REF!="br",#REF!="slurry"),0.7,V110)</f>
        <v>#REF!</v>
      </c>
      <c r="V110" s="76" t="e">
        <f>IF(AND($S$9="Dairy",#REF!="si",#REF!="slurry"),0.8,W110)</f>
        <v>#REF!</v>
      </c>
      <c r="W110" s="76" t="e">
        <f>IF(AND($S$9="Dairy",#REF!="in",#REF!="slurry"),0.8,X110)</f>
        <v>#REF!</v>
      </c>
      <c r="X110" s="76" t="e">
        <f>IF(AND($S$9="Dairy",#REF!="br",#REF!="sludge"),"ERROR",Y110)</f>
        <v>#REF!</v>
      </c>
      <c r="Y110" s="76" t="e">
        <f>IF(AND($S$9="Dairy",#REF!="si",#REF!="sludge"),"ERROR",Z110)</f>
        <v>#REF!</v>
      </c>
      <c r="Z110" s="76" t="e">
        <f>IF(AND($S$9="Dairy",#REF!="in",#REF!="sludge"),"ERROR",AA110)</f>
        <v>#REF!</v>
      </c>
      <c r="AA110" s="76" t="e">
        <f>IF(AND($S$9="Dairy",#REF!="br",#REF!="dmsssp"),0.6,AB110)</f>
        <v>#REF!</v>
      </c>
      <c r="AB110" s="76" t="e">
        <f>IF(AND($S$9="Dairy",#REF!="si",#REF!="dmsssp"),0.75,AC110)</f>
        <v>#REF!</v>
      </c>
      <c r="AC110" s="76" t="e">
        <f>IF(AND($S$9="Dairy",#REF!="in",#REF!="dmsssp"),"ERROR",AD110)</f>
        <v>#REF!</v>
      </c>
    </row>
    <row r="111" spans="1:29" ht="12.75" hidden="1">
      <c r="A111" s="42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</row>
    <row r="112" spans="1:29" ht="12.75">
      <c r="A112" s="42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</row>
    <row r="113" spans="1:25" ht="12.75">
      <c r="A113" s="42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</row>
    <row r="114" spans="1:25" ht="12.75">
      <c r="A114" s="42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</row>
    <row r="115" spans="1:25" ht="12.75">
      <c r="A115" s="42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</row>
    <row r="116" spans="1:25" ht="12.75">
      <c r="A116" s="42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</row>
    <row r="117" spans="1:25" ht="12.75">
      <c r="A117" s="42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</row>
    <row r="118" spans="1:25" ht="12.75">
      <c r="A118" s="42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</row>
    <row r="119" spans="2:25" ht="12.7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 s="76"/>
      <c r="X119" s="76"/>
      <c r="Y119" s="76"/>
    </row>
    <row r="120" spans="2:25" ht="12.7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 s="76"/>
      <c r="X120" s="76"/>
      <c r="Y120" s="76"/>
    </row>
    <row r="121" spans="2:25" ht="12.7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 s="76"/>
      <c r="X121" s="76"/>
      <c r="Y121" s="76"/>
    </row>
    <row r="122" spans="2:25" ht="12.7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 s="76"/>
      <c r="X122" s="76"/>
      <c r="Y122" s="76"/>
    </row>
    <row r="123" spans="2:25" ht="12.7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 s="76"/>
      <c r="X123" s="76"/>
      <c r="Y123" s="76"/>
    </row>
    <row r="124" spans="2:25" ht="12.7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 s="76"/>
      <c r="X124" s="76"/>
      <c r="Y124" s="76"/>
    </row>
    <row r="125" spans="2:25" ht="12.7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 s="76"/>
      <c r="X125" s="76"/>
      <c r="Y125" s="76"/>
    </row>
    <row r="126" spans="2:25" ht="12.7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 s="76"/>
      <c r="X126" s="76"/>
      <c r="Y126" s="76"/>
    </row>
    <row r="127" spans="2:25" ht="12.7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 s="76"/>
      <c r="X127" s="76"/>
      <c r="Y127" s="76"/>
    </row>
    <row r="128" spans="2:25" ht="12.7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 s="76"/>
      <c r="X128" s="76"/>
      <c r="Y128" s="76"/>
    </row>
    <row r="129" spans="2:25" ht="12.7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 s="76"/>
      <c r="X129" s="76"/>
      <c r="Y129" s="76"/>
    </row>
    <row r="130" spans="2:25" ht="12.7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 s="76"/>
      <c r="X130" s="76"/>
      <c r="Y130" s="76"/>
    </row>
    <row r="131" spans="2:25" ht="12.7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 s="76"/>
      <c r="X131" s="76"/>
      <c r="Y131" s="76"/>
    </row>
    <row r="132" spans="2:25" ht="12.7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 s="76"/>
      <c r="X132" s="76"/>
      <c r="Y132" s="76"/>
    </row>
    <row r="133" spans="2:25" ht="12.7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 s="76"/>
      <c r="X133" s="76"/>
      <c r="Y133" s="76"/>
    </row>
    <row r="134" spans="2:25" ht="12.7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 s="76"/>
      <c r="X134" s="76"/>
      <c r="Y134" s="76"/>
    </row>
    <row r="135" spans="2:25" ht="12.7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 s="76"/>
      <c r="X135" s="76"/>
      <c r="Y135" s="76"/>
    </row>
    <row r="136" spans="2:25" ht="12.7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 s="76"/>
      <c r="X136" s="76"/>
      <c r="Y136" s="76"/>
    </row>
    <row r="137" spans="2:25" ht="12.7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 s="76"/>
      <c r="X137" s="76"/>
      <c r="Y137" s="76"/>
    </row>
    <row r="138" spans="2:25" ht="12.7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 s="76"/>
      <c r="X138" s="76"/>
      <c r="Y138" s="76"/>
    </row>
    <row r="139" spans="2:25" ht="12.7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 s="76"/>
      <c r="X139" s="76"/>
      <c r="Y139" s="76"/>
    </row>
    <row r="140" spans="2:25" ht="12.7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 s="76"/>
      <c r="X140" s="76"/>
      <c r="Y140" s="76"/>
    </row>
    <row r="141" spans="2:25" ht="12.7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 s="76"/>
      <c r="X141" s="76"/>
      <c r="Y141" s="76"/>
    </row>
    <row r="142" spans="2:25" ht="12.7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 s="76"/>
      <c r="X142" s="76"/>
      <c r="Y142" s="76"/>
    </row>
  </sheetData>
  <sheetProtection password="C903" sheet="1" objects="1" scenarios="1"/>
  <mergeCells count="55">
    <mergeCell ref="P48:V48"/>
    <mergeCell ref="L36:Q36"/>
    <mergeCell ref="R15:S19"/>
    <mergeCell ref="K12:M13"/>
    <mergeCell ref="R12:V13"/>
    <mergeCell ref="R22:S22"/>
    <mergeCell ref="R23:S23"/>
    <mergeCell ref="R24:S24"/>
    <mergeCell ref="P24:Q24"/>
    <mergeCell ref="P25:Q25"/>
    <mergeCell ref="Q39:S40"/>
    <mergeCell ref="K32:M32"/>
    <mergeCell ref="P32:S32"/>
    <mergeCell ref="R31:S31"/>
    <mergeCell ref="P31:Q31"/>
    <mergeCell ref="T15:V16"/>
    <mergeCell ref="T17:T20"/>
    <mergeCell ref="U17:U20"/>
    <mergeCell ref="V17:V20"/>
    <mergeCell ref="R21:S21"/>
    <mergeCell ref="L34:Q34"/>
    <mergeCell ref="K5:L5"/>
    <mergeCell ref="M5:N5"/>
    <mergeCell ref="N12:Q13"/>
    <mergeCell ref="K7:N7"/>
    <mergeCell ref="K8:N9"/>
    <mergeCell ref="K10:N10"/>
    <mergeCell ref="P30:Q30"/>
    <mergeCell ref="P29:Q29"/>
    <mergeCell ref="E7:G7"/>
    <mergeCell ref="E8:G9"/>
    <mergeCell ref="E10:G10"/>
    <mergeCell ref="E12:G13"/>
    <mergeCell ref="P15:Q19"/>
    <mergeCell ref="E34:H34"/>
    <mergeCell ref="E36:H36"/>
    <mergeCell ref="D32:E32"/>
    <mergeCell ref="M17:M20"/>
    <mergeCell ref="R29:S29"/>
    <mergeCell ref="R30:S30"/>
    <mergeCell ref="E6:G6"/>
    <mergeCell ref="P21:Q21"/>
    <mergeCell ref="P22:Q22"/>
    <mergeCell ref="P23:Q23"/>
    <mergeCell ref="L15:L20"/>
    <mergeCell ref="Q6:S6"/>
    <mergeCell ref="S9:T9"/>
    <mergeCell ref="S7:T7"/>
    <mergeCell ref="P26:Q26"/>
    <mergeCell ref="P28:Q28"/>
    <mergeCell ref="R25:S25"/>
    <mergeCell ref="R26:S26"/>
    <mergeCell ref="P27:Q27"/>
    <mergeCell ref="R27:S27"/>
    <mergeCell ref="R28:S28"/>
  </mergeCells>
  <dataValidations count="13">
    <dataValidation type="date" showInputMessage="1" showErrorMessage="1" prompt="Enter date in following format:&#10;mm/dd/yr&#10;Example: 04/13/06" error="Enter date in following format:&#10;mm/dd/yr&#10;Example: 04/13/06" sqref="C21:C31">
      <formula1>36412</formula1>
      <formula2>65998</formula2>
    </dataValidation>
    <dataValidation type="whole" operator="greaterThan" showInputMessage="1" showErrorMessage="1" sqref="E22:E31">
      <formula1>0</formula1>
    </dataValidation>
    <dataValidation type="whole" operator="greaterThan" allowBlank="1" showInputMessage="1" showErrorMessage="1" sqref="F21:F31">
      <formula1>0</formula1>
    </dataValidation>
    <dataValidation operator="greaterThan" allowBlank="1" showInputMessage="1" showErrorMessage="1" sqref="G21:G31 N21:O31"/>
    <dataValidation operator="greaterThan" showInputMessage="1" showErrorMessage="1" sqref="D21:D31"/>
    <dataValidation type="list" allowBlank="1" showInputMessage="1" showErrorMessage="1" prompt="Select operation type from the drop down list." sqref="R9:S9">
      <formula1>"Swine,Poultry,Dairy"</formula1>
    </dataValidation>
    <dataValidation type="custom" showInputMessage="1" showErrorMessage="1" sqref="M21">
      <formula1>L21&gt;0</formula1>
    </dataValidation>
    <dataValidation type="list" showInputMessage="1" showErrorMessage="1" prompt="Select the weather code from the drop down list.&#10;c-    Clear&#10;pc-  Partly Cloudy&#10;cl -  Cloudy&#10;r -   Rain&#10;s -   Snow/Sleet&#10;w -  Windy" error="Enter weather code as shown below.&#10;c   &#10;pc&#10;cl&#10;r&#10;s&#10;w" sqref="T21:V31">
      <formula1>"c,pc,cl,r,s,w"</formula1>
    </dataValidation>
    <dataValidation type="custom" operator="greaterThanOrEqual" showInputMessage="1" showErrorMessage="1" sqref="K22:K31">
      <formula1>PRODUCT(K22&gt;0)</formula1>
    </dataValidation>
    <dataValidation type="custom" operator="greaterThan" showInputMessage="1" showErrorMessage="1" sqref="E21">
      <formula1>L21&gt;0</formula1>
    </dataValidation>
    <dataValidation operator="greaterThanOrEqual" showInputMessage="1" showErrorMessage="1" sqref="L21:L31"/>
    <dataValidation type="list" showInputMessage="1" showErrorMessage="1" prompt="Select application method from the drop down list.&#10;si = soil incorporated&#10;       (disked)&#10;br = broadcast  &#10;        (surface applied)&#10;in = injected (for slurry and           &#10;       sludge only)" error="Enter application method as shown below.&#10;si &#10;br&#10;in " sqref="H21:H31">
      <formula1>"si,br,in"</formula1>
    </dataValidation>
    <dataValidation type="list" showInputMessage="1" showErrorMessage="1" prompt="Enter type of waste. &#10;slurry&#10;sludge (swine, poultry, and beef)&#10;msssp = manure surface scraped &#10;              or stockpiled &#10;              (dairys, swine, and beef)" error="Entry must be from the following:&#10;slurry&#10;sludge&#10;msssp" sqref="I21:I31">
      <formula1>"slurry,sludge,msssp"</formula1>
    </dataValidation>
  </dataValidations>
  <printOptions/>
  <pageMargins left="0.1" right="0.1" top="0" bottom="0" header="0" footer="0"/>
  <pageSetup horizontalDpi="1200" verticalDpi="12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 Edwards</dc:creator>
  <cp:keywords/>
  <dc:description/>
  <cp:lastModifiedBy>Jill Heemstra</cp:lastModifiedBy>
  <cp:lastPrinted>2007-02-28T14:45:50Z</cp:lastPrinted>
  <dcterms:created xsi:type="dcterms:W3CDTF">2006-08-03T19:38:51Z</dcterms:created>
  <dcterms:modified xsi:type="dcterms:W3CDTF">2009-04-17T16:31:06Z</dcterms:modified>
  <cp:category/>
  <cp:version/>
  <cp:contentType/>
  <cp:contentStatus/>
</cp:coreProperties>
</file>